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ngineering Services\Impact Fees\Impact Fees Calculated by Engineering\"/>
    </mc:Choice>
  </mc:AlternateContent>
  <xr:revisionPtr revIDLastSave="0" documentId="13_ncr:1_{12EC89CB-2B13-4CCF-B489-F0250742FC4D}" xr6:coauthVersionLast="44" xr6:coauthVersionMax="44" xr10:uidLastSave="{00000000-0000-0000-0000-000000000000}"/>
  <workbookProtection workbookAlgorithmName="SHA-512" workbookHashValue="FVpnbQ/lgKw8HrrUSQGyC8Tgrc1Unxvm6Wn/ixhe1gr1PdQiawxmzsm3uJIiFqPEKOEgSWIP8kdYqEWIfRmPVw==" workbookSaltValue="YjDMhOrUXchyZvvQjGCB7Q==" workbookSpinCount="100000" lockStructure="1"/>
  <bookViews>
    <workbookView xWindow="28680" yWindow="-120" windowWidth="29040" windowHeight="15840" tabRatio="714" xr2:uid="{00000000-000D-0000-FFFF-FFFF00000000}"/>
  </bookViews>
  <sheets>
    <sheet name="Midland_Worksheet" sheetId="1" r:id="rId1"/>
    <sheet name="Service Areas" sheetId="14" r:id="rId2"/>
    <sheet name="19-WW_Lookup" sheetId="11" state="hidden" r:id="rId3"/>
    <sheet name="19-Water_Lookup" sheetId="10" state="hidden" r:id="rId4"/>
    <sheet name="19-RW-Lookup" sheetId="13" state="hidden" r:id="rId5"/>
  </sheets>
  <externalReferences>
    <externalReference r:id="rId6"/>
    <externalReference r:id="rId7"/>
  </externalReferences>
  <definedNames>
    <definedName name="List2019water">'19-Water_Lookup'!$A$4:$A$9</definedName>
    <definedName name="LU_Name">'19-RW-Lookup'!$B$5:$B$86</definedName>
    <definedName name="NEW">'[1]NEW ROAD'!$A$4:$A$5</definedName>
    <definedName name="_xlnm.Print_Area" localSheetId="0">Midland_Worksheet!$A$1:$K$51</definedName>
    <definedName name="_xlnm.Print_Titles" localSheetId="4">'19-RW-Lookup'!$1:$3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I21" i="1"/>
  <c r="H23" i="1"/>
  <c r="H21" i="1"/>
  <c r="H46" i="1"/>
  <c r="H45" i="1"/>
  <c r="H44" i="1"/>
  <c r="H43" i="1"/>
  <c r="J35" i="1" l="1"/>
  <c r="J34" i="1"/>
  <c r="J33" i="1"/>
  <c r="J32" i="1"/>
  <c r="H35" i="1"/>
  <c r="H34" i="1"/>
  <c r="H33" i="1"/>
  <c r="H32" i="1"/>
  <c r="J46" i="1"/>
  <c r="J45" i="1"/>
  <c r="J44" i="1"/>
  <c r="J43" i="1"/>
  <c r="P13" i="1"/>
  <c r="P12" i="1" l="1"/>
  <c r="P11" i="1"/>
  <c r="P10" i="1"/>
  <c r="P9" i="1"/>
  <c r="S9" i="1"/>
  <c r="H42" i="1" s="1"/>
  <c r="J42" i="1" s="1"/>
  <c r="D24" i="1"/>
  <c r="D23" i="1"/>
  <c r="D22" i="1"/>
  <c r="D21" i="1"/>
  <c r="D20" i="1"/>
  <c r="N86" i="13"/>
  <c r="O86" i="13" s="1"/>
  <c r="K86" i="13"/>
  <c r="N85" i="13"/>
  <c r="O85" i="13" s="1"/>
  <c r="P85" i="13" s="1"/>
  <c r="AC85" i="13" s="1"/>
  <c r="K85" i="13"/>
  <c r="N84" i="13"/>
  <c r="O84" i="13" s="1"/>
  <c r="K84" i="13"/>
  <c r="N82" i="13"/>
  <c r="O82" i="13" s="1"/>
  <c r="K82" i="13"/>
  <c r="N81" i="13"/>
  <c r="O81" i="13" s="1"/>
  <c r="K81" i="13"/>
  <c r="N80" i="13"/>
  <c r="O80" i="13" s="1"/>
  <c r="K80" i="13"/>
  <c r="N79" i="13"/>
  <c r="O79" i="13" s="1"/>
  <c r="P79" i="13" s="1"/>
  <c r="K79" i="13"/>
  <c r="N78" i="13"/>
  <c r="O78" i="13" s="1"/>
  <c r="K78" i="13"/>
  <c r="N77" i="13"/>
  <c r="O77" i="13" s="1"/>
  <c r="P77" i="13" s="1"/>
  <c r="AE77" i="13" s="1"/>
  <c r="K77" i="13"/>
  <c r="N76" i="13"/>
  <c r="O76" i="13" s="1"/>
  <c r="K76" i="13"/>
  <c r="N75" i="13"/>
  <c r="O75" i="13" s="1"/>
  <c r="K75" i="13"/>
  <c r="N74" i="13"/>
  <c r="O74" i="13" s="1"/>
  <c r="K74" i="13"/>
  <c r="N72" i="13"/>
  <c r="O72" i="13" s="1"/>
  <c r="K72" i="13"/>
  <c r="N71" i="13"/>
  <c r="O71" i="13" s="1"/>
  <c r="P71" i="13" s="1"/>
  <c r="K71" i="13"/>
  <c r="N70" i="13"/>
  <c r="O70" i="13" s="1"/>
  <c r="P70" i="13" s="1"/>
  <c r="AE70" i="13" s="1"/>
  <c r="K70" i="13"/>
  <c r="N69" i="13"/>
  <c r="O69" i="13" s="1"/>
  <c r="P69" i="13" s="1"/>
  <c r="K69" i="13"/>
  <c r="N68" i="13"/>
  <c r="O68" i="13" s="1"/>
  <c r="K68" i="13"/>
  <c r="O67" i="13"/>
  <c r="P67" i="13" s="1"/>
  <c r="AD67" i="13" s="1"/>
  <c r="N67" i="13"/>
  <c r="K67" i="13"/>
  <c r="N65" i="13"/>
  <c r="O65" i="13" s="1"/>
  <c r="P65" i="13" s="1"/>
  <c r="AD65" i="13" s="1"/>
  <c r="K65" i="13"/>
  <c r="N64" i="13"/>
  <c r="O64" i="13" s="1"/>
  <c r="P64" i="13" s="1"/>
  <c r="AD64" i="13" s="1"/>
  <c r="K64" i="13"/>
  <c r="N63" i="13"/>
  <c r="O63" i="13" s="1"/>
  <c r="P63" i="13" s="1"/>
  <c r="K63" i="13"/>
  <c r="N62" i="13"/>
  <c r="O62" i="13" s="1"/>
  <c r="P62" i="13" s="1"/>
  <c r="K62" i="13"/>
  <c r="N61" i="13"/>
  <c r="O61" i="13" s="1"/>
  <c r="P61" i="13" s="1"/>
  <c r="AE61" i="13" s="1"/>
  <c r="K61" i="13"/>
  <c r="O60" i="13"/>
  <c r="N60" i="13"/>
  <c r="K60" i="13"/>
  <c r="N59" i="13"/>
  <c r="O59" i="13" s="1"/>
  <c r="K59" i="13"/>
  <c r="O58" i="13"/>
  <c r="P58" i="13" s="1"/>
  <c r="AD58" i="13" s="1"/>
  <c r="N58" i="13"/>
  <c r="K58" i="13"/>
  <c r="N55" i="13"/>
  <c r="O55" i="13" s="1"/>
  <c r="K55" i="13"/>
  <c r="N54" i="13"/>
  <c r="O54" i="13" s="1"/>
  <c r="K54" i="13"/>
  <c r="N53" i="13"/>
  <c r="O53" i="13" s="1"/>
  <c r="K53" i="13"/>
  <c r="N52" i="13"/>
  <c r="O52" i="13" s="1"/>
  <c r="K52" i="13"/>
  <c r="N51" i="13"/>
  <c r="O51" i="13" s="1"/>
  <c r="P51" i="13" s="1"/>
  <c r="AC51" i="13" s="1"/>
  <c r="K51" i="13"/>
  <c r="O49" i="13"/>
  <c r="N49" i="13"/>
  <c r="K49" i="13"/>
  <c r="N48" i="13"/>
  <c r="O48" i="13" s="1"/>
  <c r="K48" i="13"/>
  <c r="N47" i="13"/>
  <c r="O47" i="13" s="1"/>
  <c r="K47" i="13"/>
  <c r="N46" i="13"/>
  <c r="O46" i="13" s="1"/>
  <c r="K46" i="13"/>
  <c r="N44" i="13"/>
  <c r="O44" i="13" s="1"/>
  <c r="K44" i="13"/>
  <c r="N43" i="13"/>
  <c r="O43" i="13" s="1"/>
  <c r="P43" i="13" s="1"/>
  <c r="K43" i="13"/>
  <c r="O42" i="13"/>
  <c r="N42" i="13"/>
  <c r="K42" i="13"/>
  <c r="N41" i="13"/>
  <c r="O41" i="13" s="1"/>
  <c r="P41" i="13" s="1"/>
  <c r="AC41" i="13" s="1"/>
  <c r="K41" i="13"/>
  <c r="N40" i="13"/>
  <c r="O40" i="13" s="1"/>
  <c r="P40" i="13" s="1"/>
  <c r="AE40" i="13" s="1"/>
  <c r="K40" i="13"/>
  <c r="O39" i="13"/>
  <c r="P39" i="13" s="1"/>
  <c r="AC39" i="13" s="1"/>
  <c r="N39" i="13"/>
  <c r="K39" i="13"/>
  <c r="N37" i="13"/>
  <c r="O37" i="13" s="1"/>
  <c r="K37" i="13"/>
  <c r="N36" i="13"/>
  <c r="O36" i="13" s="1"/>
  <c r="K36" i="13"/>
  <c r="N35" i="13"/>
  <c r="O35" i="13" s="1"/>
  <c r="K35" i="13"/>
  <c r="N34" i="13"/>
  <c r="O34" i="13" s="1"/>
  <c r="K34" i="13"/>
  <c r="N33" i="13"/>
  <c r="O33" i="13" s="1"/>
  <c r="K33" i="13"/>
  <c r="N32" i="13"/>
  <c r="O32" i="13" s="1"/>
  <c r="P32" i="13" s="1"/>
  <c r="K32" i="13"/>
  <c r="N31" i="13"/>
  <c r="O31" i="13" s="1"/>
  <c r="P31" i="13" s="1"/>
  <c r="K31" i="13"/>
  <c r="N30" i="13"/>
  <c r="O30" i="13" s="1"/>
  <c r="K30" i="13"/>
  <c r="N29" i="13"/>
  <c r="O29" i="13" s="1"/>
  <c r="K29" i="13"/>
  <c r="N27" i="13"/>
  <c r="O27" i="13" s="1"/>
  <c r="K27" i="13"/>
  <c r="N26" i="13"/>
  <c r="O26" i="13" s="1"/>
  <c r="P26" i="13" s="1"/>
  <c r="K26" i="13"/>
  <c r="N24" i="13"/>
  <c r="O24" i="13" s="1"/>
  <c r="K24" i="13"/>
  <c r="N23" i="13"/>
  <c r="O23" i="13" s="1"/>
  <c r="K23" i="13"/>
  <c r="N22" i="13"/>
  <c r="O22" i="13" s="1"/>
  <c r="P22" i="13" s="1"/>
  <c r="K22" i="13"/>
  <c r="N21" i="13"/>
  <c r="O21" i="13" s="1"/>
  <c r="P21" i="13" s="1"/>
  <c r="K21" i="13"/>
  <c r="N20" i="13"/>
  <c r="O20" i="13" s="1"/>
  <c r="K20" i="13"/>
  <c r="N19" i="13"/>
  <c r="O19" i="13" s="1"/>
  <c r="P19" i="13" s="1"/>
  <c r="K19" i="13"/>
  <c r="N18" i="13"/>
  <c r="O18" i="13" s="1"/>
  <c r="P18" i="13" s="1"/>
  <c r="AC18" i="13" s="1"/>
  <c r="K18" i="13"/>
  <c r="N17" i="13"/>
  <c r="O17" i="13" s="1"/>
  <c r="P17" i="13" s="1"/>
  <c r="AC17" i="13" s="1"/>
  <c r="K17" i="13"/>
  <c r="N15" i="13"/>
  <c r="O15" i="13" s="1"/>
  <c r="K15" i="13"/>
  <c r="N14" i="13"/>
  <c r="O14" i="13" s="1"/>
  <c r="K14" i="13"/>
  <c r="O13" i="13"/>
  <c r="N13" i="13"/>
  <c r="K13" i="13"/>
  <c r="N12" i="13"/>
  <c r="O12" i="13" s="1"/>
  <c r="K12" i="13"/>
  <c r="N11" i="13"/>
  <c r="O11" i="13" s="1"/>
  <c r="K11" i="13"/>
  <c r="N10" i="13"/>
  <c r="O10" i="13" s="1"/>
  <c r="K10" i="13"/>
  <c r="N8" i="13"/>
  <c r="O8" i="13" s="1"/>
  <c r="K8" i="13"/>
  <c r="AK7" i="13"/>
  <c r="AJ7" i="13"/>
  <c r="AI7" i="13"/>
  <c r="AH7" i="13"/>
  <c r="N7" i="13"/>
  <c r="O7" i="13" s="1"/>
  <c r="K7" i="13"/>
  <c r="P13" i="13" l="1"/>
  <c r="P49" i="13"/>
  <c r="AC49" i="13" s="1"/>
  <c r="P60" i="13"/>
  <c r="AD60" i="13" s="1"/>
  <c r="P10" i="13"/>
  <c r="AD10" i="13" s="1"/>
  <c r="P36" i="13"/>
  <c r="AB36" i="13" s="1"/>
  <c r="P48" i="13"/>
  <c r="AE48" i="13" s="1"/>
  <c r="P52" i="13"/>
  <c r="P59" i="13"/>
  <c r="AD59" i="13" s="1"/>
  <c r="P81" i="13"/>
  <c r="P84" i="13"/>
  <c r="AE84" i="13" s="1"/>
  <c r="P86" i="13"/>
  <c r="AE86" i="13" s="1"/>
  <c r="P8" i="13"/>
  <c r="W8" i="13" s="1"/>
  <c r="P47" i="13"/>
  <c r="P53" i="13"/>
  <c r="P55" i="13"/>
  <c r="AC58" i="13"/>
  <c r="AC71" i="13"/>
  <c r="AD71" i="13"/>
  <c r="AD69" i="13"/>
  <c r="AC69" i="13"/>
  <c r="AD40" i="13"/>
  <c r="P14" i="13"/>
  <c r="AD14" i="13" s="1"/>
  <c r="P35" i="13"/>
  <c r="AE35" i="13" s="1"/>
  <c r="AB39" i="13"/>
  <c r="AE65" i="13"/>
  <c r="P76" i="13"/>
  <c r="R76" i="13" s="1"/>
  <c r="AD17" i="13"/>
  <c r="S65" i="13"/>
  <c r="AD39" i="13"/>
  <c r="P72" i="13"/>
  <c r="T72" i="13" s="1"/>
  <c r="P80" i="13"/>
  <c r="AD80" i="13" s="1"/>
  <c r="AD18" i="13"/>
  <c r="P33" i="13"/>
  <c r="Y40" i="13"/>
  <c r="P11" i="13"/>
  <c r="P29" i="13"/>
  <c r="AE29" i="13" s="1"/>
  <c r="AE17" i="13"/>
  <c r="AE18" i="13"/>
  <c r="P37" i="13"/>
  <c r="P74" i="13"/>
  <c r="Z74" i="13" s="1"/>
  <c r="AB17" i="13"/>
  <c r="P30" i="13"/>
  <c r="S30" i="13" s="1"/>
  <c r="P54" i="13"/>
  <c r="W54" i="13" s="1"/>
  <c r="P68" i="13"/>
  <c r="AE68" i="13" s="1"/>
  <c r="P82" i="13"/>
  <c r="AD82" i="13" s="1"/>
  <c r="AB18" i="13"/>
  <c r="P12" i="13"/>
  <c r="P78" i="13"/>
  <c r="Z78" i="13" s="1"/>
  <c r="P75" i="13"/>
  <c r="Z21" i="13"/>
  <c r="S48" i="13"/>
  <c r="H31" i="1"/>
  <c r="J31" i="1" s="1"/>
  <c r="H22" i="1"/>
  <c r="I22" i="1" s="1"/>
  <c r="H24" i="1"/>
  <c r="I24" i="1" s="1"/>
  <c r="P14" i="1"/>
  <c r="H20" i="1" s="1"/>
  <c r="I20" i="1" s="1"/>
  <c r="T21" i="13"/>
  <c r="U40" i="13"/>
  <c r="U48" i="13"/>
  <c r="U55" i="13"/>
  <c r="U58" i="13"/>
  <c r="U65" i="13"/>
  <c r="Z26" i="13"/>
  <c r="X64" i="13"/>
  <c r="U69" i="13"/>
  <c r="Y79" i="13"/>
  <c r="Z22" i="13"/>
  <c r="W31" i="13"/>
  <c r="W43" i="13"/>
  <c r="S39" i="13"/>
  <c r="X47" i="13"/>
  <c r="W53" i="13"/>
  <c r="U67" i="13"/>
  <c r="Z32" i="13"/>
  <c r="X58" i="13"/>
  <c r="T10" i="13"/>
  <c r="W10" i="13"/>
  <c r="U86" i="13"/>
  <c r="AE31" i="13"/>
  <c r="S40" i="13"/>
  <c r="X41" i="13"/>
  <c r="AD43" i="13"/>
  <c r="AC61" i="13"/>
  <c r="U64" i="13"/>
  <c r="AC70" i="13"/>
  <c r="AC84" i="13"/>
  <c r="U39" i="13"/>
  <c r="X40" i="13"/>
  <c r="X79" i="13"/>
  <c r="P7" i="13"/>
  <c r="Z7" i="13" s="1"/>
  <c r="AE79" i="13"/>
  <c r="U22" i="13"/>
  <c r="AC60" i="13"/>
  <c r="X69" i="13"/>
  <c r="S77" i="13"/>
  <c r="W35" i="13"/>
  <c r="S80" i="13"/>
  <c r="AC86" i="13"/>
  <c r="P34" i="13"/>
  <c r="AC34" i="13" s="1"/>
  <c r="U41" i="13"/>
  <c r="AD48" i="13"/>
  <c r="S84" i="13"/>
  <c r="AC13" i="13"/>
  <c r="S13" i="13"/>
  <c r="X13" i="13"/>
  <c r="W13" i="13"/>
  <c r="T13" i="13"/>
  <c r="R13" i="13"/>
  <c r="AE13" i="13"/>
  <c r="Z13" i="13"/>
  <c r="AD13" i="13"/>
  <c r="AB13" i="13"/>
  <c r="U13" i="13"/>
  <c r="Y13" i="13"/>
  <c r="S17" i="13"/>
  <c r="T17" i="13"/>
  <c r="U17" i="13"/>
  <c r="R17" i="13"/>
  <c r="AC8" i="13"/>
  <c r="X8" i="13"/>
  <c r="AD8" i="13"/>
  <c r="Z8" i="13"/>
  <c r="T8" i="13"/>
  <c r="AE8" i="13"/>
  <c r="AC11" i="13"/>
  <c r="S11" i="13"/>
  <c r="AD11" i="13"/>
  <c r="R11" i="13"/>
  <c r="AB11" i="13"/>
  <c r="Z11" i="13"/>
  <c r="Y11" i="13"/>
  <c r="W11" i="13"/>
  <c r="T11" i="13"/>
  <c r="X11" i="13"/>
  <c r="U11" i="13"/>
  <c r="AE11" i="13"/>
  <c r="AC19" i="13"/>
  <c r="S19" i="13"/>
  <c r="Y19" i="13"/>
  <c r="AD19" i="13"/>
  <c r="X19" i="13"/>
  <c r="W19" i="13"/>
  <c r="AE19" i="13"/>
  <c r="AB19" i="13"/>
  <c r="Z19" i="13"/>
  <c r="U19" i="13"/>
  <c r="R19" i="13"/>
  <c r="T19" i="13"/>
  <c r="Y14" i="13"/>
  <c r="X14" i="13"/>
  <c r="AC12" i="13"/>
  <c r="S12" i="13"/>
  <c r="U12" i="13"/>
  <c r="AE12" i="13"/>
  <c r="T12" i="13"/>
  <c r="Z12" i="13"/>
  <c r="Y12" i="13"/>
  <c r="X12" i="13"/>
  <c r="W12" i="13"/>
  <c r="R12" i="13"/>
  <c r="AB12" i="13"/>
  <c r="AD12" i="13"/>
  <c r="Z37" i="13"/>
  <c r="W37" i="13"/>
  <c r="U37" i="13"/>
  <c r="AC37" i="13"/>
  <c r="R37" i="13"/>
  <c r="AD37" i="13"/>
  <c r="AB37" i="13"/>
  <c r="X37" i="13"/>
  <c r="T37" i="13"/>
  <c r="S37" i="13"/>
  <c r="Y37" i="13"/>
  <c r="AE37" i="13"/>
  <c r="AD33" i="13"/>
  <c r="T33" i="13"/>
  <c r="AC33" i="13"/>
  <c r="S33" i="13"/>
  <c r="Y33" i="13"/>
  <c r="Z33" i="13"/>
  <c r="X33" i="13"/>
  <c r="U33" i="13"/>
  <c r="R33" i="13"/>
  <c r="W33" i="13"/>
  <c r="AE33" i="13"/>
  <c r="AB33" i="13"/>
  <c r="AB62" i="13"/>
  <c r="R62" i="13"/>
  <c r="Z62" i="13"/>
  <c r="T62" i="13"/>
  <c r="AE62" i="13"/>
  <c r="S62" i="13"/>
  <c r="Y62" i="13"/>
  <c r="W62" i="13"/>
  <c r="U62" i="13"/>
  <c r="AD62" i="13"/>
  <c r="AC62" i="13"/>
  <c r="AB75" i="13"/>
  <c r="R75" i="13"/>
  <c r="Z75" i="13"/>
  <c r="AD75" i="13"/>
  <c r="Y75" i="13"/>
  <c r="X75" i="13"/>
  <c r="T75" i="13"/>
  <c r="AE75" i="13"/>
  <c r="AC75" i="13"/>
  <c r="W75" i="13"/>
  <c r="U75" i="13"/>
  <c r="S75" i="13"/>
  <c r="W59" i="13"/>
  <c r="R41" i="13"/>
  <c r="W39" i="13"/>
  <c r="W58" i="13"/>
  <c r="R39" i="13"/>
  <c r="W77" i="13"/>
  <c r="W65" i="13"/>
  <c r="U21" i="13"/>
  <c r="X22" i="13"/>
  <c r="P27" i="13"/>
  <c r="Z43" i="13"/>
  <c r="Y43" i="13"/>
  <c r="X43" i="13"/>
  <c r="AE43" i="13"/>
  <c r="T43" i="13"/>
  <c r="AC43" i="13"/>
  <c r="AB43" i="13"/>
  <c r="U43" i="13"/>
  <c r="S43" i="13"/>
  <c r="R43" i="13"/>
  <c r="Z47" i="13"/>
  <c r="W47" i="13"/>
  <c r="U47" i="13"/>
  <c r="AC47" i="13"/>
  <c r="R47" i="13"/>
  <c r="T47" i="13"/>
  <c r="S47" i="13"/>
  <c r="AE47" i="13"/>
  <c r="AB47" i="13"/>
  <c r="AD47" i="13"/>
  <c r="AB51" i="13"/>
  <c r="R51" i="13"/>
  <c r="Z51" i="13"/>
  <c r="Y51" i="13"/>
  <c r="X51" i="13"/>
  <c r="T51" i="13"/>
  <c r="AE51" i="13"/>
  <c r="AD51" i="13"/>
  <c r="W51" i="13"/>
  <c r="U51" i="13"/>
  <c r="S51" i="13"/>
  <c r="X62" i="13"/>
  <c r="W64" i="13"/>
  <c r="AC26" i="13"/>
  <c r="S26" i="13"/>
  <c r="Y26" i="13"/>
  <c r="AD26" i="13"/>
  <c r="AB26" i="13"/>
  <c r="X26" i="13"/>
  <c r="W26" i="13"/>
  <c r="AB76" i="13"/>
  <c r="Z76" i="13"/>
  <c r="T76" i="13"/>
  <c r="S76" i="13"/>
  <c r="AD76" i="13"/>
  <c r="X76" i="13"/>
  <c r="Y80" i="13"/>
  <c r="T79" i="13"/>
  <c r="T80" i="13"/>
  <c r="T40" i="13"/>
  <c r="T86" i="13"/>
  <c r="AB21" i="13"/>
  <c r="AB22" i="13"/>
  <c r="R26" i="13"/>
  <c r="AD32" i="13"/>
  <c r="T32" i="13"/>
  <c r="AC32" i="13"/>
  <c r="S32" i="13"/>
  <c r="Y32" i="13"/>
  <c r="AE32" i="13"/>
  <c r="AB32" i="13"/>
  <c r="X32" i="13"/>
  <c r="W32" i="13"/>
  <c r="Z36" i="13"/>
  <c r="AE36" i="13"/>
  <c r="T36" i="13"/>
  <c r="AD36" i="13"/>
  <c r="S36" i="13"/>
  <c r="Y36" i="13"/>
  <c r="AC36" i="13"/>
  <c r="X36" i="13"/>
  <c r="W36" i="13"/>
  <c r="Y47" i="13"/>
  <c r="AB63" i="13"/>
  <c r="R63" i="13"/>
  <c r="Z63" i="13"/>
  <c r="Y63" i="13"/>
  <c r="X63" i="13"/>
  <c r="T63" i="13"/>
  <c r="U63" i="13"/>
  <c r="S63" i="13"/>
  <c r="AE63" i="13"/>
  <c r="AD63" i="13"/>
  <c r="AC63" i="13"/>
  <c r="U18" i="13"/>
  <c r="AB54" i="13"/>
  <c r="R54" i="13"/>
  <c r="Z54" i="13"/>
  <c r="T54" i="13"/>
  <c r="AE54" i="13"/>
  <c r="S54" i="13"/>
  <c r="Y54" i="13"/>
  <c r="AD54" i="13"/>
  <c r="AC54" i="13"/>
  <c r="X54" i="13"/>
  <c r="U54" i="13"/>
  <c r="AC10" i="13"/>
  <c r="Z10" i="13"/>
  <c r="AE10" i="13"/>
  <c r="P15" i="13"/>
  <c r="AE21" i="13"/>
  <c r="P24" i="13"/>
  <c r="T26" i="13"/>
  <c r="AD31" i="13"/>
  <c r="T31" i="13"/>
  <c r="AC31" i="13"/>
  <c r="S31" i="13"/>
  <c r="Y31" i="13"/>
  <c r="R31" i="13"/>
  <c r="AB31" i="13"/>
  <c r="Z31" i="13"/>
  <c r="R32" i="13"/>
  <c r="AD35" i="13"/>
  <c r="T35" i="13"/>
  <c r="AC35" i="13"/>
  <c r="S35" i="13"/>
  <c r="Y35" i="13"/>
  <c r="R35" i="13"/>
  <c r="AB35" i="13"/>
  <c r="Z35" i="13"/>
  <c r="R36" i="13"/>
  <c r="AB52" i="13"/>
  <c r="R52" i="13"/>
  <c r="Z52" i="13"/>
  <c r="T52" i="13"/>
  <c r="AE52" i="13"/>
  <c r="S52" i="13"/>
  <c r="Y52" i="13"/>
  <c r="AD52" i="13"/>
  <c r="AC52" i="13"/>
  <c r="W52" i="13"/>
  <c r="U52" i="13"/>
  <c r="W63" i="13"/>
  <c r="AB7" i="13"/>
  <c r="R10" i="13"/>
  <c r="P23" i="13"/>
  <c r="U26" i="13"/>
  <c r="U31" i="13"/>
  <c r="U32" i="13"/>
  <c r="T34" i="13"/>
  <c r="S34" i="13"/>
  <c r="W34" i="13"/>
  <c r="AE34" i="13"/>
  <c r="U35" i="13"/>
  <c r="U36" i="13"/>
  <c r="AB49" i="13"/>
  <c r="R49" i="13"/>
  <c r="Z49" i="13"/>
  <c r="T49" i="13"/>
  <c r="AE49" i="13"/>
  <c r="S49" i="13"/>
  <c r="Y49" i="13"/>
  <c r="AD49" i="13"/>
  <c r="X49" i="13"/>
  <c r="W49" i="13"/>
  <c r="U49" i="13"/>
  <c r="X52" i="13"/>
  <c r="AB55" i="13"/>
  <c r="R55" i="13"/>
  <c r="Z55" i="13"/>
  <c r="Y55" i="13"/>
  <c r="X55" i="13"/>
  <c r="T55" i="13"/>
  <c r="AD55" i="13"/>
  <c r="AC55" i="13"/>
  <c r="W55" i="13"/>
  <c r="S55" i="13"/>
  <c r="S18" i="13"/>
  <c r="R18" i="13"/>
  <c r="AC21" i="13"/>
  <c r="S21" i="13"/>
  <c r="Y21" i="13"/>
  <c r="AD21" i="13"/>
  <c r="X21" i="13"/>
  <c r="W21" i="13"/>
  <c r="AC22" i="13"/>
  <c r="S22" i="13"/>
  <c r="Y22" i="13"/>
  <c r="W22" i="13"/>
  <c r="AE22" i="13"/>
  <c r="R22" i="13"/>
  <c r="AD22" i="13"/>
  <c r="S29" i="13"/>
  <c r="AC30" i="13"/>
  <c r="Y30" i="13"/>
  <c r="U30" i="13"/>
  <c r="AE30" i="13"/>
  <c r="R74" i="13"/>
  <c r="W74" i="13"/>
  <c r="AE74" i="13"/>
  <c r="Y74" i="13"/>
  <c r="AC74" i="13"/>
  <c r="U74" i="13"/>
  <c r="T18" i="13"/>
  <c r="P20" i="13"/>
  <c r="R21" i="13"/>
  <c r="T22" i="13"/>
  <c r="AE26" i="13"/>
  <c r="X31" i="13"/>
  <c r="X35" i="13"/>
  <c r="W41" i="13"/>
  <c r="R48" i="13"/>
  <c r="AB53" i="13"/>
  <c r="R53" i="13"/>
  <c r="Z53" i="13"/>
  <c r="Y53" i="13"/>
  <c r="X53" i="13"/>
  <c r="T53" i="13"/>
  <c r="AE53" i="13"/>
  <c r="AD53" i="13"/>
  <c r="AC53" i="13"/>
  <c r="U53" i="13"/>
  <c r="S53" i="13"/>
  <c r="AE55" i="13"/>
  <c r="R78" i="13"/>
  <c r="W78" i="13"/>
  <c r="T78" i="13"/>
  <c r="AC78" i="13"/>
  <c r="AE78" i="13"/>
  <c r="Y78" i="13"/>
  <c r="U77" i="13"/>
  <c r="S82" i="13"/>
  <c r="X84" i="13"/>
  <c r="AD61" i="13"/>
  <c r="W67" i="13"/>
  <c r="AB81" i="13"/>
  <c r="R81" i="13"/>
  <c r="Z81" i="13"/>
  <c r="W81" i="13"/>
  <c r="U81" i="13"/>
  <c r="S81" i="13"/>
  <c r="AE81" i="13"/>
  <c r="Y81" i="13"/>
  <c r="U82" i="13"/>
  <c r="Z39" i="13"/>
  <c r="Y39" i="13"/>
  <c r="X39" i="13"/>
  <c r="AE39" i="13"/>
  <c r="T39" i="13"/>
  <c r="AB41" i="13"/>
  <c r="W48" i="13"/>
  <c r="AC64" i="13"/>
  <c r="AC65" i="13"/>
  <c r="X67" i="13"/>
  <c r="R72" i="13"/>
  <c r="AC77" i="13"/>
  <c r="T81" i="13"/>
  <c r="X82" i="13"/>
  <c r="P44" i="13"/>
  <c r="Z40" i="13"/>
  <c r="AC40" i="13"/>
  <c r="R40" i="13"/>
  <c r="AB40" i="13"/>
  <c r="W40" i="13"/>
  <c r="P46" i="13"/>
  <c r="AC48" i="13"/>
  <c r="AB58" i="13"/>
  <c r="R58" i="13"/>
  <c r="Z58" i="13"/>
  <c r="T58" i="13"/>
  <c r="AE58" i="13"/>
  <c r="S58" i="13"/>
  <c r="Y58" i="13"/>
  <c r="AB59" i="13"/>
  <c r="Z59" i="13"/>
  <c r="X59" i="13"/>
  <c r="AC67" i="13"/>
  <c r="AB80" i="13"/>
  <c r="R80" i="13"/>
  <c r="Z80" i="13"/>
  <c r="W80" i="13"/>
  <c r="AC80" i="13"/>
  <c r="X80" i="13"/>
  <c r="U80" i="13"/>
  <c r="AE80" i="13"/>
  <c r="X81" i="13"/>
  <c r="AB86" i="13"/>
  <c r="R86" i="13"/>
  <c r="Z86" i="13"/>
  <c r="W86" i="13"/>
  <c r="AD86" i="13"/>
  <c r="Y86" i="13"/>
  <c r="X86" i="13"/>
  <c r="S86" i="13"/>
  <c r="AB60" i="13"/>
  <c r="R60" i="13"/>
  <c r="Z60" i="13"/>
  <c r="T60" i="13"/>
  <c r="AE60" i="13"/>
  <c r="S60" i="13"/>
  <c r="Y60" i="13"/>
  <c r="AB61" i="13"/>
  <c r="R61" i="13"/>
  <c r="Z61" i="13"/>
  <c r="Y61" i="13"/>
  <c r="X61" i="13"/>
  <c r="T61" i="13"/>
  <c r="AB70" i="13"/>
  <c r="R70" i="13"/>
  <c r="Z70" i="13"/>
  <c r="AD70" i="13"/>
  <c r="Y70" i="13"/>
  <c r="X70" i="13"/>
  <c r="T70" i="13"/>
  <c r="AB71" i="13"/>
  <c r="R71" i="13"/>
  <c r="Z71" i="13"/>
  <c r="W71" i="13"/>
  <c r="T71" i="13"/>
  <c r="AE71" i="13"/>
  <c r="S71" i="13"/>
  <c r="Y71" i="13"/>
  <c r="AC81" i="13"/>
  <c r="AB85" i="13"/>
  <c r="R85" i="13"/>
  <c r="Z85" i="13"/>
  <c r="W85" i="13"/>
  <c r="T85" i="13"/>
  <c r="AE85" i="13"/>
  <c r="AD85" i="13"/>
  <c r="X85" i="13"/>
  <c r="Z41" i="13"/>
  <c r="AE41" i="13"/>
  <c r="T41" i="13"/>
  <c r="AD41" i="13"/>
  <c r="S41" i="13"/>
  <c r="Y41" i="13"/>
  <c r="U60" i="13"/>
  <c r="S61" i="13"/>
  <c r="S70" i="13"/>
  <c r="U71" i="13"/>
  <c r="AB79" i="13"/>
  <c r="R79" i="13"/>
  <c r="Z79" i="13"/>
  <c r="W79" i="13"/>
  <c r="S79" i="13"/>
  <c r="AD79" i="13"/>
  <c r="AC79" i="13"/>
  <c r="U79" i="13"/>
  <c r="AD81" i="13"/>
  <c r="S85" i="13"/>
  <c r="P42" i="13"/>
  <c r="AB48" i="13"/>
  <c r="Z48" i="13"/>
  <c r="Y48" i="13"/>
  <c r="X48" i="13"/>
  <c r="T48" i="13"/>
  <c r="W60" i="13"/>
  <c r="U61" i="13"/>
  <c r="AB64" i="13"/>
  <c r="R64" i="13"/>
  <c r="Z64" i="13"/>
  <c r="T64" i="13"/>
  <c r="AE64" i="13"/>
  <c r="S64" i="13"/>
  <c r="Y64" i="13"/>
  <c r="AB65" i="13"/>
  <c r="R65" i="13"/>
  <c r="Z65" i="13"/>
  <c r="Y65" i="13"/>
  <c r="X65" i="13"/>
  <c r="T65" i="13"/>
  <c r="R68" i="13"/>
  <c r="AD68" i="13"/>
  <c r="AB69" i="13"/>
  <c r="R69" i="13"/>
  <c r="Z69" i="13"/>
  <c r="W69" i="13"/>
  <c r="T69" i="13"/>
  <c r="AE69" i="13"/>
  <c r="S69" i="13"/>
  <c r="Y69" i="13"/>
  <c r="U70" i="13"/>
  <c r="X71" i="13"/>
  <c r="AB77" i="13"/>
  <c r="R77" i="13"/>
  <c r="Z77" i="13"/>
  <c r="AD77" i="13"/>
  <c r="Y77" i="13"/>
  <c r="X77" i="13"/>
  <c r="T77" i="13"/>
  <c r="AB84" i="13"/>
  <c r="R84" i="13"/>
  <c r="Z84" i="13"/>
  <c r="W84" i="13"/>
  <c r="Y84" i="13"/>
  <c r="U84" i="13"/>
  <c r="T84" i="13"/>
  <c r="AD84" i="13"/>
  <c r="U85" i="13"/>
  <c r="X60" i="13"/>
  <c r="W61" i="13"/>
  <c r="AB67" i="13"/>
  <c r="R67" i="13"/>
  <c r="Z67" i="13"/>
  <c r="T67" i="13"/>
  <c r="AE67" i="13"/>
  <c r="S67" i="13"/>
  <c r="Y67" i="13"/>
  <c r="W70" i="13"/>
  <c r="AB82" i="13"/>
  <c r="R82" i="13"/>
  <c r="Z82" i="13"/>
  <c r="W82" i="13"/>
  <c r="AE82" i="13"/>
  <c r="AC82" i="13"/>
  <c r="Y82" i="13"/>
  <c r="T82" i="13"/>
  <c r="Y85" i="13"/>
  <c r="Z68" i="13" l="1"/>
  <c r="Y59" i="13"/>
  <c r="AB72" i="13"/>
  <c r="U78" i="13"/>
  <c r="X78" i="13"/>
  <c r="AB78" i="13"/>
  <c r="R34" i="13"/>
  <c r="U10" i="13"/>
  <c r="AD74" i="13"/>
  <c r="T74" i="13"/>
  <c r="AB74" i="13"/>
  <c r="W30" i="13"/>
  <c r="AD30" i="13"/>
  <c r="Y34" i="13"/>
  <c r="AD34" i="13"/>
  <c r="S10" i="13"/>
  <c r="U76" i="13"/>
  <c r="Y76" i="13"/>
  <c r="W76" i="13"/>
  <c r="U29" i="13"/>
  <c r="X10" i="13"/>
  <c r="W14" i="13"/>
  <c r="U8" i="13"/>
  <c r="AB8" i="13"/>
  <c r="S8" i="13"/>
  <c r="S59" i="13"/>
  <c r="AE59" i="13"/>
  <c r="AB10" i="13"/>
  <c r="AC59" i="13"/>
  <c r="AB30" i="13"/>
  <c r="R29" i="13"/>
  <c r="X30" i="13"/>
  <c r="Z30" i="13"/>
  <c r="T59" i="13"/>
  <c r="R59" i="13"/>
  <c r="AD78" i="13"/>
  <c r="S78" i="13"/>
  <c r="T30" i="13"/>
  <c r="X74" i="13"/>
  <c r="S74" i="13"/>
  <c r="R30" i="13"/>
  <c r="U34" i="13"/>
  <c r="Y10" i="13"/>
  <c r="AC76" i="13"/>
  <c r="AE76" i="13"/>
  <c r="R8" i="13"/>
  <c r="Y8" i="13"/>
  <c r="U59" i="13"/>
  <c r="AC72" i="13"/>
  <c r="AE72" i="13"/>
  <c r="AB68" i="13"/>
  <c r="AC68" i="13"/>
  <c r="AC29" i="13"/>
  <c r="X7" i="13"/>
  <c r="T29" i="13"/>
  <c r="AB14" i="13"/>
  <c r="S68" i="13"/>
  <c r="X72" i="13"/>
  <c r="W29" i="13"/>
  <c r="Z29" i="13"/>
  <c r="W72" i="13"/>
  <c r="AE14" i="13"/>
  <c r="Z14" i="13"/>
  <c r="U68" i="13"/>
  <c r="T68" i="13"/>
  <c r="X68" i="13"/>
  <c r="Y72" i="13"/>
  <c r="X29" i="13"/>
  <c r="R14" i="13"/>
  <c r="S14" i="13"/>
  <c r="Y68" i="13"/>
  <c r="AD72" i="13"/>
  <c r="AB29" i="13"/>
  <c r="T14" i="13"/>
  <c r="AC14" i="13"/>
  <c r="Z72" i="13"/>
  <c r="AD7" i="13"/>
  <c r="AD29" i="13"/>
  <c r="Y7" i="13"/>
  <c r="U14" i="13"/>
  <c r="Y29" i="13"/>
  <c r="W68" i="13"/>
  <c r="S72" i="13"/>
  <c r="U72" i="13"/>
  <c r="J27" i="1"/>
  <c r="AB34" i="13"/>
  <c r="Z34" i="13"/>
  <c r="X34" i="13"/>
  <c r="S7" i="13"/>
  <c r="R7" i="13"/>
  <c r="AE7" i="13"/>
  <c r="AC7" i="13"/>
  <c r="W7" i="13"/>
  <c r="U7" i="13"/>
  <c r="T7" i="13"/>
  <c r="Z46" i="13"/>
  <c r="AE46" i="13"/>
  <c r="T46" i="13"/>
  <c r="AD46" i="13"/>
  <c r="S46" i="13"/>
  <c r="Y46" i="13"/>
  <c r="W46" i="13"/>
  <c r="U46" i="13"/>
  <c r="AC46" i="13"/>
  <c r="AB46" i="13"/>
  <c r="X46" i="13"/>
  <c r="R46" i="13"/>
  <c r="AC23" i="13"/>
  <c r="S23" i="13"/>
  <c r="Y23" i="13"/>
  <c r="AD23" i="13"/>
  <c r="AB23" i="13"/>
  <c r="X23" i="13"/>
  <c r="W23" i="13"/>
  <c r="T23" i="13"/>
  <c r="R23" i="13"/>
  <c r="AE23" i="13"/>
  <c r="Z23" i="13"/>
  <c r="U23" i="13"/>
  <c r="AC20" i="13"/>
  <c r="S20" i="13"/>
  <c r="Y20" i="13"/>
  <c r="W20" i="13"/>
  <c r="AE20" i="13"/>
  <c r="R20" i="13"/>
  <c r="AD20" i="13"/>
  <c r="AB20" i="13"/>
  <c r="X20" i="13"/>
  <c r="Z20" i="13"/>
  <c r="U20" i="13"/>
  <c r="T20" i="13"/>
  <c r="AC24" i="13"/>
  <c r="S24" i="13"/>
  <c r="Y24" i="13"/>
  <c r="W24" i="13"/>
  <c r="U24" i="13"/>
  <c r="AE24" i="13"/>
  <c r="R24" i="13"/>
  <c r="AD24" i="13"/>
  <c r="Z24" i="13"/>
  <c r="X24" i="13"/>
  <c r="T24" i="13"/>
  <c r="AB24" i="13"/>
  <c r="Z44" i="13"/>
  <c r="AC44" i="13"/>
  <c r="R44" i="13"/>
  <c r="AB44" i="13"/>
  <c r="W44" i="13"/>
  <c r="Y44" i="13"/>
  <c r="X44" i="13"/>
  <c r="T44" i="13"/>
  <c r="S44" i="13"/>
  <c r="AD44" i="13"/>
  <c r="U44" i="13"/>
  <c r="AE44" i="13"/>
  <c r="Z42" i="13"/>
  <c r="W42" i="13"/>
  <c r="U42" i="13"/>
  <c r="AC42" i="13"/>
  <c r="R42" i="13"/>
  <c r="AE42" i="13"/>
  <c r="AB42" i="13"/>
  <c r="Y42" i="13"/>
  <c r="X42" i="13"/>
  <c r="AD42" i="13"/>
  <c r="T42" i="13"/>
  <c r="S42" i="13"/>
  <c r="AC15" i="13"/>
  <c r="S15" i="13"/>
  <c r="Y15" i="13"/>
  <c r="AE15" i="13"/>
  <c r="R15" i="13"/>
  <c r="AD15" i="13"/>
  <c r="W15" i="13"/>
  <c r="T15" i="13"/>
  <c r="AB15" i="13"/>
  <c r="U15" i="13"/>
  <c r="Z15" i="13"/>
  <c r="X15" i="13"/>
  <c r="AC27" i="13"/>
  <c r="S27" i="13"/>
  <c r="Y27" i="13"/>
  <c r="W27" i="13"/>
  <c r="U27" i="13"/>
  <c r="AE27" i="13"/>
  <c r="R27" i="13"/>
  <c r="AD27" i="13"/>
  <c r="AB27" i="13"/>
  <c r="T27" i="13"/>
  <c r="Z27" i="13"/>
  <c r="X27" i="13"/>
  <c r="H4" i="1" l="1"/>
  <c r="J38" i="1" l="1"/>
  <c r="J48" i="1" l="1"/>
  <c r="J49" i="1" l="1"/>
</calcChain>
</file>

<file path=xl/sharedStrings.xml><?xml version="1.0" encoding="utf-8"?>
<sst xmlns="http://schemas.openxmlformats.org/spreadsheetml/2006/main" count="507" uniqueCount="315">
  <si>
    <t>Land Use Category</t>
  </si>
  <si>
    <t>ITE Land Use Code</t>
  </si>
  <si>
    <t>Development Unit</t>
  </si>
  <si>
    <t>A</t>
  </si>
  <si>
    <t>B</t>
  </si>
  <si>
    <t>C</t>
  </si>
  <si>
    <t>PORT AND TERMINAL</t>
  </si>
  <si>
    <t>Truck Terminal</t>
  </si>
  <si>
    <t>030</t>
  </si>
  <si>
    <t>Acre</t>
  </si>
  <si>
    <t>INDUSTRIAL</t>
  </si>
  <si>
    <t>General Light Industrial</t>
  </si>
  <si>
    <t>110</t>
  </si>
  <si>
    <t>1,000 SF GFA</t>
  </si>
  <si>
    <t>Industrial Park</t>
  </si>
  <si>
    <t>Warehousing</t>
  </si>
  <si>
    <t>150</t>
  </si>
  <si>
    <t>Mini-Warehouse</t>
  </si>
  <si>
    <t>151</t>
  </si>
  <si>
    <t>RESIDENTIAL</t>
  </si>
  <si>
    <t>Single-Family Detached Housing</t>
  </si>
  <si>
    <t>210</t>
  </si>
  <si>
    <t>Dwelling Unit</t>
  </si>
  <si>
    <t>220</t>
  </si>
  <si>
    <t>Assisted Living</t>
  </si>
  <si>
    <t>254</t>
  </si>
  <si>
    <t>LODGING</t>
  </si>
  <si>
    <t>Hotel</t>
  </si>
  <si>
    <t>310</t>
  </si>
  <si>
    <t>Room</t>
  </si>
  <si>
    <t>Motel / Other Lodging Facilities</t>
  </si>
  <si>
    <t>320</t>
  </si>
  <si>
    <t>RECREATIONAL</t>
  </si>
  <si>
    <t>432</t>
  </si>
  <si>
    <t>Tee</t>
  </si>
  <si>
    <t>Golf Course</t>
  </si>
  <si>
    <t>430</t>
  </si>
  <si>
    <t>495</t>
  </si>
  <si>
    <t>465</t>
  </si>
  <si>
    <t>431</t>
  </si>
  <si>
    <t>Hole</t>
  </si>
  <si>
    <t>Multiplex Movie Theater</t>
  </si>
  <si>
    <t>445</t>
  </si>
  <si>
    <t>Screens</t>
  </si>
  <si>
    <t>Racquet / Tennis Club</t>
  </si>
  <si>
    <t>491</t>
  </si>
  <si>
    <t>Court</t>
  </si>
  <si>
    <t>INSTITUTIONAL</t>
  </si>
  <si>
    <t>Church</t>
  </si>
  <si>
    <t>560</t>
  </si>
  <si>
    <t>Day Care Center</t>
  </si>
  <si>
    <t>565</t>
  </si>
  <si>
    <t>Primary/Middle School (1-8)</t>
  </si>
  <si>
    <t>522</t>
  </si>
  <si>
    <t>Students</t>
  </si>
  <si>
    <t>530</t>
  </si>
  <si>
    <t>540</t>
  </si>
  <si>
    <t>University / College</t>
  </si>
  <si>
    <t>550</t>
  </si>
  <si>
    <t>MEDICAL</t>
  </si>
  <si>
    <t>Clinic</t>
  </si>
  <si>
    <t>630</t>
  </si>
  <si>
    <t>Hospital</t>
  </si>
  <si>
    <t>610</t>
  </si>
  <si>
    <t>Beds</t>
  </si>
  <si>
    <t>Nursing Home</t>
  </si>
  <si>
    <t>620</t>
  </si>
  <si>
    <t>OFFICE</t>
  </si>
  <si>
    <t>Corporate Headquarters Building</t>
  </si>
  <si>
    <t>714</t>
  </si>
  <si>
    <t>General Office Building</t>
  </si>
  <si>
    <t>710</t>
  </si>
  <si>
    <t>720</t>
  </si>
  <si>
    <t>Single Tenant Office Building</t>
  </si>
  <si>
    <t>715</t>
  </si>
  <si>
    <t>750</t>
  </si>
  <si>
    <t>COMMERCIAL</t>
  </si>
  <si>
    <t>Automobile Care Center</t>
  </si>
  <si>
    <t>942</t>
  </si>
  <si>
    <t>Automobile Parts Sales</t>
  </si>
  <si>
    <t>843</t>
  </si>
  <si>
    <t>Gasoline/Service Station</t>
  </si>
  <si>
    <t>944</t>
  </si>
  <si>
    <t>945</t>
  </si>
  <si>
    <t>841</t>
  </si>
  <si>
    <t>941</t>
  </si>
  <si>
    <t>Self-Service Car Wash</t>
  </si>
  <si>
    <t>947</t>
  </si>
  <si>
    <t>Stall</t>
  </si>
  <si>
    <t>Tire Store</t>
  </si>
  <si>
    <t>848</t>
  </si>
  <si>
    <t>934</t>
  </si>
  <si>
    <t>933</t>
  </si>
  <si>
    <t>High Turnover (Sit-Down) Restaurant</t>
  </si>
  <si>
    <t>932</t>
  </si>
  <si>
    <t>931</t>
  </si>
  <si>
    <t>815</t>
  </si>
  <si>
    <t>817</t>
  </si>
  <si>
    <t>Home Improvement Superstore</t>
  </si>
  <si>
    <t>862</t>
  </si>
  <si>
    <t>881</t>
  </si>
  <si>
    <t>Shopping Center</t>
  </si>
  <si>
    <t>820</t>
  </si>
  <si>
    <t>Supermarket</t>
  </si>
  <si>
    <t>850</t>
  </si>
  <si>
    <t>Toy/Children's Superstore</t>
  </si>
  <si>
    <t>864</t>
  </si>
  <si>
    <t>SERVICES</t>
  </si>
  <si>
    <t>911</t>
  </si>
  <si>
    <t>912</t>
  </si>
  <si>
    <t>Impact Fee Calculation Worksheet</t>
  </si>
  <si>
    <t>OTHER RETAIL</t>
  </si>
  <si>
    <t>A (Northwest)</t>
  </si>
  <si>
    <t>C (Southwest)</t>
  </si>
  <si>
    <t>D (Southeast)</t>
  </si>
  <si>
    <t>B (Northeast)</t>
  </si>
  <si>
    <t>Development Name:</t>
  </si>
  <si>
    <t>Case Number:</t>
  </si>
  <si>
    <t>Date:</t>
  </si>
  <si>
    <t>Land Uses (select from list):</t>
  </si>
  <si>
    <t>Development Unit:</t>
  </si>
  <si>
    <t># of Units:</t>
  </si>
  <si>
    <t>TOTAL ROADWAY IMPACT FEE:</t>
  </si>
  <si>
    <t>ROADWAY IMPACT FEE CALCULATION:</t>
  </si>
  <si>
    <t>Roadway Impact Fee:</t>
  </si>
  <si>
    <t>WATER IMPACT FEE CALCULATION:</t>
  </si>
  <si>
    <t># of Meters:</t>
  </si>
  <si>
    <t>Water Impact Fee:</t>
  </si>
  <si>
    <t>Meter Size / Type (select from list):</t>
  </si>
  <si>
    <t>TOTAL WATER IMPACT FEE:</t>
  </si>
  <si>
    <t>WASTEWATER IMPACT FEE CALCULATION:</t>
  </si>
  <si>
    <t>Wastewater Impact Fee:</t>
  </si>
  <si>
    <t>TOTAL WASTEWATER IMPACT FEE:</t>
  </si>
  <si>
    <t>TOTAL IMPACT FEE:</t>
  </si>
  <si>
    <t>Impact Fee Per Development Unit:</t>
  </si>
  <si>
    <t>Impact Fee Per Meter:</t>
  </si>
  <si>
    <r>
      <t xml:space="preserve">Note: </t>
    </r>
    <r>
      <rPr>
        <sz val="8"/>
        <rFont val="Arial"/>
        <family val="2"/>
      </rPr>
      <t>Impact Fee calculated based upon number of domestic water meters - do not include irrigation meters.</t>
    </r>
  </si>
  <si>
    <t xml:space="preserve">Final Plat Approval Date: </t>
  </si>
  <si>
    <t xml:space="preserve">Service Area (select from list): </t>
  </si>
  <si>
    <t>Final Plat Approval Dates</t>
  </si>
  <si>
    <t>Senior Adult Housing-Detached</t>
  </si>
  <si>
    <t>251</t>
  </si>
  <si>
    <t>Senior Adult Housing-Attached</t>
  </si>
  <si>
    <t>252</t>
  </si>
  <si>
    <t>Golf Driving Range</t>
  </si>
  <si>
    <t>Recreational Community Center</t>
  </si>
  <si>
    <t>Ice Skating Rink</t>
  </si>
  <si>
    <t>Miniature Golf Course</t>
  </si>
  <si>
    <t>High School</t>
  </si>
  <si>
    <t>Junior / Community College</t>
  </si>
  <si>
    <t>Animal Hospital/Veterinary Clinic</t>
  </si>
  <si>
    <t>640</t>
  </si>
  <si>
    <t>Medical-Dental Office Building</t>
  </si>
  <si>
    <t>Office Park</t>
  </si>
  <si>
    <t>1,000 SF GLA</t>
  </si>
  <si>
    <t>Vehicle Fueling Position</t>
  </si>
  <si>
    <t>Gasoline/Service Station w/ Conv Market and Car Wash</t>
  </si>
  <si>
    <t>New Car Sales</t>
  </si>
  <si>
    <t>Quick Lubrication Vehicle Shop</t>
  </si>
  <si>
    <t>Servicing Positions</t>
  </si>
  <si>
    <t>Fast Food Restaurant with Drive-Thru Window</t>
  </si>
  <si>
    <t>Fast Food Restaurant without Drive-Thru Window</t>
  </si>
  <si>
    <t>Quality Restaurant</t>
  </si>
  <si>
    <t>Coffee/Donut Shop with Drive-Thru Window</t>
  </si>
  <si>
    <t>937</t>
  </si>
  <si>
    <t>Nursery (Garden Center)</t>
  </si>
  <si>
    <t>Pharmacy/Drugstore w/o Drive-Thru Window</t>
  </si>
  <si>
    <t>880</t>
  </si>
  <si>
    <t>Pharmacy/Drugstore w/ Drive-Thru Window</t>
  </si>
  <si>
    <t>Department Store</t>
  </si>
  <si>
    <t>875</t>
  </si>
  <si>
    <t>Walk-In Bank</t>
  </si>
  <si>
    <t>Drive-In Bank</t>
  </si>
  <si>
    <t>Drive-in Lanes</t>
  </si>
  <si>
    <t>Hair Salon</t>
  </si>
  <si>
    <t>918</t>
  </si>
  <si>
    <t>Code for Indirect Lookup</t>
  </si>
  <si>
    <t>Project Representative:</t>
  </si>
  <si>
    <t>Owner:</t>
  </si>
  <si>
    <t>221</t>
  </si>
  <si>
    <t>222</t>
  </si>
  <si>
    <t>Meter Size and Type*</t>
  </si>
  <si>
    <t>*PD=Positive Displacement Meter, COMP=Compound Meter</t>
  </si>
  <si>
    <t>Engineer:</t>
  </si>
  <si>
    <t>X</t>
  </si>
  <si>
    <t>Manufacturing</t>
  </si>
  <si>
    <t>140</t>
  </si>
  <si>
    <t>City of Midland, Texas</t>
  </si>
  <si>
    <t>1"</t>
  </si>
  <si>
    <t>2"</t>
  </si>
  <si>
    <t>3"</t>
  </si>
  <si>
    <t>4"</t>
  </si>
  <si>
    <t>6"</t>
  </si>
  <si>
    <t>Wastewater Impact Fee Per Service Unit              (Maxmium)</t>
  </si>
  <si>
    <t>Wastewater Impact Fee Per Service Unit 
(50% of the Maximum)</t>
  </si>
  <si>
    <t>Water Impact Fee Per Service Unit              (Maxmium)</t>
  </si>
  <si>
    <t>Water Impact Fee Per Service Unit 
(50% of the Maximum)</t>
  </si>
  <si>
    <t>Land Use / Vehicle-Mile Equivalency Table (LUVMET)</t>
  </si>
  <si>
    <t>Land Use Description</t>
  </si>
  <si>
    <t>Trip Gen Rate (PM)</t>
  </si>
  <si>
    <t>Pass-by Rate</t>
  </si>
  <si>
    <t>Pass-by Source</t>
  </si>
  <si>
    <t>Trip Rate</t>
  </si>
  <si>
    <t>Trip Length (mi)</t>
  </si>
  <si>
    <t>Adj. For     O-D</t>
  </si>
  <si>
    <t>Max Trip Length (mi)</t>
  </si>
  <si>
    <t xml:space="preserve">Veh-Mi Per Dev-Unit </t>
  </si>
  <si>
    <t>Pre-Credit Maximum Fee</t>
  </si>
  <si>
    <t>Study Results</t>
  </si>
  <si>
    <t>Service Area A</t>
  </si>
  <si>
    <t>Service Area B</t>
  </si>
  <si>
    <t>Service Area C</t>
  </si>
  <si>
    <t>Service Area D</t>
  </si>
  <si>
    <t>Point of good transfer between trucks or between trucks and rail</t>
  </si>
  <si>
    <t>Study</t>
  </si>
  <si>
    <t>Park-and-Ride</t>
  </si>
  <si>
    <t>090</t>
  </si>
  <si>
    <t>Parking Spaces</t>
  </si>
  <si>
    <t>Council</t>
  </si>
  <si>
    <t>Emphasis on activities other than manufacturing; typically employing fewer than 500 workers</t>
  </si>
  <si>
    <t>Primary activity is conversion of raw materials or parts into finished products</t>
  </si>
  <si>
    <t>Devoted to storage of materials but may included office and maintenance areas</t>
  </si>
  <si>
    <t>Facilities with a number of units rented to others for the storage of goods</t>
  </si>
  <si>
    <t>Data Center</t>
  </si>
  <si>
    <t>160</t>
  </si>
  <si>
    <t>Single-family detached homes on individual lots</t>
  </si>
  <si>
    <t>Multifamily Housing (Low-Rise)</t>
  </si>
  <si>
    <t>At least 4 rental dwelling units per building</t>
  </si>
  <si>
    <t>Multifamily Housing (Mid-Rise)</t>
  </si>
  <si>
    <t>At least 3 rental dwelling units and between three and ten levels (floors) per building</t>
  </si>
  <si>
    <t>Multifamily Housing (High-Rise)</t>
  </si>
  <si>
    <t>At least 3 rental dwelling units and more than ten levels (floors) per building</t>
  </si>
  <si>
    <t>Mobile Home Park / Manufactured Home</t>
  </si>
  <si>
    <t>Consists of detached independent living developments that include amenities such as golf courses and swimming pools</t>
  </si>
  <si>
    <t>Consists of attached independent living developments that include limited social or recreation services</t>
  </si>
  <si>
    <t>Residential settings that provide either routine general protective oversight or assistance with activities.</t>
  </si>
  <si>
    <t>Lodging facilities that typically have on-site restaurants, lounges, meeting and/or banquet rooms, or other retail shops and services</t>
  </si>
  <si>
    <t>Lodging facilities that may have small on-site restaurant or buffet area but little or no meeting space</t>
  </si>
  <si>
    <t>Facilities with driving tees for practice; may provide individual or group lessons; may have prop shop and/or refreshment facilities</t>
  </si>
  <si>
    <t>May include municipal courses and private country clubs; may have driving ranges, pro shops, and restaurant/banquet facilities</t>
  </si>
  <si>
    <t>Bowling Alley</t>
  </si>
  <si>
    <t>437</t>
  </si>
  <si>
    <t>Category includes racquet clubs, health/fitness clubs, can include facilities such as YMCA's</t>
  </si>
  <si>
    <t>Rinks for ice skating and related sports; may contain spectator areas and refreshment facilities</t>
  </si>
  <si>
    <t>One or more individual putting courses; category should not be used when part of a larger entertainment center(with batting cages, video game centers, etc)</t>
  </si>
  <si>
    <t>Movie theater with audience seating, minimum of ten screens, lobby, and refreshment area.</t>
  </si>
  <si>
    <t>Indoor or outdoor facilities specifically designed for playing tennis</t>
  </si>
  <si>
    <t>Health/Fitness Club</t>
  </si>
  <si>
    <t>492</t>
  </si>
  <si>
    <t>Churches and houses of worship</t>
  </si>
  <si>
    <t>Generally includes facilities for care of pre-school aged children, generally includes classrooms, offices, eating areas, and playgrounds</t>
  </si>
  <si>
    <t>Serves students who have not yet entered high school</t>
  </si>
  <si>
    <t>Serves students who have completed middle or junior high school</t>
  </si>
  <si>
    <t>Two-year junior, community, or technical colleges</t>
  </si>
  <si>
    <t>Four-year universities or colleges that may or may not offer graduate programs</t>
  </si>
  <si>
    <t>Facilities with limited diagnostic and outpatient care</t>
  </si>
  <si>
    <t>Medical and surgical facilities with overnight accommodations</t>
  </si>
  <si>
    <t>Rest and convalescent homes with residents who do little or no driving</t>
  </si>
  <si>
    <t>Office building housing corporate headquarters of a single company or organization</t>
  </si>
  <si>
    <t>Office buildings which house multiple tenants</t>
  </si>
  <si>
    <t>Multi-tenant building with offices for physicians and/or dentists</t>
  </si>
  <si>
    <t>Single tenant office buildings other than corporate headquarters</t>
  </si>
  <si>
    <t>Office buildings (typically low-rise) in a campus setting and served by a common roadway system</t>
  </si>
  <si>
    <t>Automobile repair and servicing including stereo installations and upholstering</t>
  </si>
  <si>
    <t>Retail sale of auto parts but no on-site vehicle repair</t>
  </si>
  <si>
    <t>Gasoline sales without convenience store or car wash; may include repair</t>
  </si>
  <si>
    <t>Gasoline sales with convenience store and car washes where the primary business is gasoline sales</t>
  </si>
  <si>
    <t>New car dealerships, typically with automobile servicing, part sales, and used car sales</t>
  </si>
  <si>
    <t>Primary business is to perform oil changes and fluid/filter changes with other repair services not provided</t>
  </si>
  <si>
    <t>Has stalls for driver to park and wash the vehicle</t>
  </si>
  <si>
    <t>Primary business is sales and installation of tires; usually do not have large storage or warehouse area</t>
  </si>
  <si>
    <t>Drinking Place</t>
  </si>
  <si>
    <t>925</t>
  </si>
  <si>
    <t>High-turnover fast food restaurant for carry-out and eat-in customers with a drive-thru window</t>
  </si>
  <si>
    <t>High-turnover fast food restaurant for carry-out and eat-in customers, but without a drive-thru window</t>
  </si>
  <si>
    <t>Restaurants with turnover rates less than one hour; typically includes moderately-priced chain restaurants</t>
  </si>
  <si>
    <t>Restaurants with turnover rates of one hour or longer; typically require reservations</t>
  </si>
  <si>
    <t>Coffee and Donut restaurants with drive-through windows, hold long store hours and have limited indoor seating</t>
  </si>
  <si>
    <t>Free-Standing Store</t>
  </si>
  <si>
    <t>Category includes free-standing stores with off-street parking; typically offer a variety of products and services with long store hours</t>
  </si>
  <si>
    <t>Building with a yard of planting or landscape stock; may have office, storage, shipping or greenhouse facilities</t>
  </si>
  <si>
    <t>Warehouse-type facilities offering a large variety of products and services including lumber, tool, paint, lighting, and fixtures, among other items.</t>
  </si>
  <si>
    <t>Facilities that primarily sell prescription and non-prescription drugs without a drive-through window</t>
  </si>
  <si>
    <t>Facilities that primarily sell prescription and non-prescription drugs with a drive-through window</t>
  </si>
  <si>
    <t>Integrated group of commercial establishments; planning, owned, and managed as a unit</t>
  </si>
  <si>
    <t>Primary business is sale of groceries, food, and household cleaning items; may include photo, pharmacy, video rental, and/or ATM</t>
  </si>
  <si>
    <t>Businesses specializing in child-oriented merchandise</t>
  </si>
  <si>
    <t>Free-standing stores that specialize in the sale of apparel, footwear, bedding, home products, jewelry, etc.</t>
  </si>
  <si>
    <t>Banks with their own parking lots, no drive-in lanes but contain non-drive-through ATMs</t>
  </si>
  <si>
    <t>Banking facilities to conduct financial transactions from the vehicle; also usually apart of walk-in bank</t>
  </si>
  <si>
    <t>Facilities that specialize in cosmetic and beauty services including hair cutting and styling</t>
  </si>
  <si>
    <t xml:space="preserve">DINING </t>
  </si>
  <si>
    <t>AUTOMOBILIE RELATED</t>
  </si>
  <si>
    <t>On or before 9/30/2019</t>
  </si>
  <si>
    <t>On or after 10/1/2019</t>
  </si>
  <si>
    <t xml:space="preserve">Building Permit Date: </t>
  </si>
  <si>
    <t>Single-Family, Townhome or Duplex</t>
  </si>
  <si>
    <t>10/1/2019 - On or before 9/30/2020</t>
  </si>
  <si>
    <t>10/1/2020 - On or before 9/30/2021</t>
  </si>
  <si>
    <t>On or after 10/1/2021</t>
  </si>
  <si>
    <t>On or before 9/30/2019 &amp; 10/1/2019 - On or before 9/30/2020</t>
  </si>
  <si>
    <t>On or before 9/30/2019 &amp; 10/1/2019 - 10/1/2020 - On or before 9/30/2021</t>
  </si>
  <si>
    <t>On or before 9/30/2019 &amp; On or after 10/1/2021</t>
  </si>
  <si>
    <t>4</t>
  </si>
  <si>
    <t>Collected
One Year</t>
  </si>
  <si>
    <t>Collected Two Year
(At Building Permit)</t>
  </si>
  <si>
    <t>PERMIT INFO:</t>
  </si>
  <si>
    <t>No Impact Fee Due</t>
  </si>
  <si>
    <t>see Service Area Tab</t>
  </si>
  <si>
    <t>E (Airport)</t>
  </si>
  <si>
    <t>Service Area E</t>
  </si>
  <si>
    <t>Yes</t>
  </si>
  <si>
    <t>No</t>
  </si>
  <si>
    <r>
      <t>Note:</t>
    </r>
    <r>
      <rPr>
        <sz val="9"/>
        <rFont val="Arial"/>
        <family val="2"/>
      </rPr>
      <t xml:space="preserve">
Property may be subject to a developer's impact fee agreement.
Construction or Escrow may be required for items including, but not limited to, turn lanes, median openings, median planting, and sidewalks.</t>
    </r>
  </si>
  <si>
    <t>Worksheet Last Updated: 10/08/2019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</si>
</sst>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.00_);_(&quot;$&quot;* \(#,##0.00\);_(&quot;$&quot;* &quot;-&quot;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i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color rgb="FF000000"/>
      <name val="Tw Cen MT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6" xfId="0" applyFill="1" applyBorder="1"/>
    <xf numFmtId="44" fontId="0" fillId="2" borderId="0" xfId="0" applyNumberForma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0" fillId="2" borderId="5" xfId="0" applyFill="1" applyBorder="1"/>
    <xf numFmtId="0" fontId="0" fillId="2" borderId="7" xfId="0" applyFill="1" applyBorder="1"/>
    <xf numFmtId="0" fontId="3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left" vertical="center"/>
    </xf>
    <xf numFmtId="0" fontId="9" fillId="2" borderId="1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 vertical="top"/>
    </xf>
    <xf numFmtId="0" fontId="0" fillId="4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44" fontId="0" fillId="4" borderId="0" xfId="0" applyNumberForma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0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44" xfId="0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right" vertical="center"/>
    </xf>
    <xf numFmtId="44" fontId="0" fillId="4" borderId="0" xfId="0" applyNumberFormat="1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6" fillId="2" borderId="54" xfId="0" applyFont="1" applyFill="1" applyBorder="1" applyAlignment="1">
      <alignment horizontal="right" vertical="center"/>
    </xf>
    <xf numFmtId="0" fontId="0" fillId="2" borderId="55" xfId="0" applyFill="1" applyBorder="1" applyAlignment="1">
      <alignment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42" fontId="4" fillId="2" borderId="0" xfId="0" applyNumberFormat="1" applyFont="1" applyFill="1" applyBorder="1" applyAlignment="1">
      <alignment horizontal="right" vertical="center" wrapText="1"/>
    </xf>
    <xf numFmtId="42" fontId="6" fillId="2" borderId="54" xfId="0" applyNumberFormat="1" applyFont="1" applyFill="1" applyBorder="1" applyAlignment="1">
      <alignment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42" fontId="0" fillId="4" borderId="0" xfId="0" applyNumberFormat="1" applyFill="1" applyBorder="1" applyAlignment="1" applyProtection="1">
      <alignment horizontal="center" vertical="center"/>
      <protection locked="0"/>
    </xf>
    <xf numFmtId="42" fontId="6" fillId="2" borderId="0" xfId="0" applyNumberFormat="1" applyFont="1" applyFill="1" applyBorder="1" applyAlignment="1">
      <alignment vertical="center"/>
    </xf>
    <xf numFmtId="42" fontId="0" fillId="2" borderId="0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42" fontId="5" fillId="2" borderId="0" xfId="0" applyNumberFormat="1" applyFont="1" applyFill="1" applyBorder="1" applyAlignment="1">
      <alignment vertical="center"/>
    </xf>
    <xf numFmtId="0" fontId="0" fillId="3" borderId="44" xfId="0" applyFill="1" applyBorder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vertical="center"/>
      <protection locked="0"/>
    </xf>
    <xf numFmtId="42" fontId="4" fillId="2" borderId="4" xfId="0" applyNumberFormat="1" applyFont="1" applyFill="1" applyBorder="1" applyAlignment="1">
      <alignment horizontal="right" vertical="center" wrapText="1"/>
    </xf>
    <xf numFmtId="0" fontId="17" fillId="4" borderId="0" xfId="6" applyFont="1" applyFill="1" applyBorder="1"/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0" fillId="4" borderId="0" xfId="0" applyFill="1" applyBorder="1" applyAlignment="1" applyProtection="1">
      <alignment vertical="center"/>
      <protection locked="0"/>
    </xf>
    <xf numFmtId="8" fontId="14" fillId="0" borderId="47" xfId="1" applyNumberFormat="1" applyFont="1" applyBorder="1" applyAlignment="1">
      <alignment horizontal="center" wrapText="1"/>
    </xf>
    <xf numFmtId="8" fontId="14" fillId="0" borderId="47" xfId="0" applyNumberFormat="1" applyFont="1" applyBorder="1" applyAlignment="1">
      <alignment horizontal="center" vertical="center" wrapText="1"/>
    </xf>
    <xf numFmtId="8" fontId="14" fillId="0" borderId="49" xfId="1" applyNumberFormat="1" applyFont="1" applyBorder="1" applyAlignment="1">
      <alignment horizontal="center" wrapText="1"/>
    </xf>
    <xf numFmtId="8" fontId="14" fillId="0" borderId="49" xfId="0" applyNumberFormat="1" applyFont="1" applyBorder="1" applyAlignment="1">
      <alignment horizontal="center" vertical="center" wrapText="1"/>
    </xf>
    <xf numFmtId="8" fontId="14" fillId="0" borderId="51" xfId="1" applyNumberFormat="1" applyFont="1" applyBorder="1" applyAlignment="1">
      <alignment horizontal="center" wrapText="1"/>
    </xf>
    <xf numFmtId="8" fontId="14" fillId="0" borderId="51" xfId="0" applyNumberFormat="1" applyFont="1" applyBorder="1" applyAlignment="1">
      <alignment horizontal="center" vertical="center" wrapText="1"/>
    </xf>
    <xf numFmtId="164" fontId="14" fillId="0" borderId="47" xfId="1" applyNumberFormat="1" applyFont="1" applyBorder="1" applyAlignment="1">
      <alignment horizontal="center" wrapText="1"/>
    </xf>
    <xf numFmtId="164" fontId="14" fillId="0" borderId="47" xfId="0" applyNumberFormat="1" applyFont="1" applyBorder="1" applyAlignment="1">
      <alignment horizontal="center" vertical="center" wrapText="1"/>
    </xf>
    <xf numFmtId="164" fontId="14" fillId="0" borderId="49" xfId="1" applyNumberFormat="1" applyFont="1" applyBorder="1" applyAlignment="1">
      <alignment horizontal="center" wrapText="1"/>
    </xf>
    <xf numFmtId="164" fontId="14" fillId="0" borderId="49" xfId="0" applyNumberFormat="1" applyFont="1" applyBorder="1" applyAlignment="1">
      <alignment horizontal="center" vertical="center" wrapText="1"/>
    </xf>
    <xf numFmtId="164" fontId="14" fillId="0" borderId="51" xfId="1" applyNumberFormat="1" applyFont="1" applyBorder="1" applyAlignment="1">
      <alignment horizontal="center" wrapText="1"/>
    </xf>
    <xf numFmtId="164" fontId="14" fillId="0" borderId="51" xfId="0" applyNumberFormat="1" applyFont="1" applyBorder="1" applyAlignment="1">
      <alignment horizontal="center" vertical="center" wrapText="1"/>
    </xf>
    <xf numFmtId="0" fontId="17" fillId="4" borderId="0" xfId="8" applyFont="1" applyFill="1"/>
    <xf numFmtId="49" fontId="17" fillId="4" borderId="0" xfId="8" applyNumberFormat="1" applyFont="1" applyFill="1" applyAlignment="1">
      <alignment horizontal="center"/>
    </xf>
    <xf numFmtId="0" fontId="17" fillId="4" borderId="0" xfId="8" applyFont="1" applyFill="1" applyAlignment="1">
      <alignment horizontal="center"/>
    </xf>
    <xf numFmtId="2" fontId="17" fillId="4" borderId="0" xfId="8" applyNumberFormat="1" applyFont="1" applyFill="1" applyAlignment="1">
      <alignment horizontal="center"/>
    </xf>
    <xf numFmtId="9" fontId="17" fillId="4" borderId="0" xfId="8" applyNumberFormat="1" applyFont="1" applyFill="1" applyAlignment="1">
      <alignment horizontal="center"/>
    </xf>
    <xf numFmtId="2" fontId="17" fillId="0" borderId="0" xfId="8" applyNumberFormat="1" applyFont="1" applyFill="1" applyAlignment="1">
      <alignment horizontal="center"/>
    </xf>
    <xf numFmtId="9" fontId="17" fillId="0" borderId="0" xfId="8" applyNumberFormat="1" applyFont="1" applyFill="1" applyAlignment="1">
      <alignment horizontal="center"/>
    </xf>
    <xf numFmtId="0" fontId="17" fillId="0" borderId="0" xfId="8" applyFont="1" applyFill="1" applyAlignment="1">
      <alignment horizontal="center"/>
    </xf>
    <xf numFmtId="0" fontId="17" fillId="0" borderId="0" xfId="8" applyFont="1" applyAlignment="1">
      <alignment vertical="center" wrapText="1"/>
    </xf>
    <xf numFmtId="0" fontId="17" fillId="0" borderId="0" xfId="8" applyFont="1"/>
    <xf numFmtId="0" fontId="18" fillId="4" borderId="0" xfId="8" applyFont="1" applyFill="1" applyBorder="1" applyAlignment="1">
      <alignment horizontal="center"/>
    </xf>
    <xf numFmtId="0" fontId="12" fillId="4" borderId="0" xfId="8" applyFont="1" applyFill="1" applyAlignment="1">
      <alignment horizontal="center" vertical="center"/>
    </xf>
    <xf numFmtId="49" fontId="12" fillId="4" borderId="13" xfId="8" applyNumberFormat="1" applyFont="1" applyFill="1" applyBorder="1" applyAlignment="1">
      <alignment horizontal="center" vertical="center" wrapText="1"/>
    </xf>
    <xf numFmtId="0" fontId="12" fillId="4" borderId="13" xfId="8" applyFont="1" applyFill="1" applyBorder="1" applyAlignment="1">
      <alignment horizontal="center" vertical="center" wrapText="1"/>
    </xf>
    <xf numFmtId="2" fontId="12" fillId="4" borderId="13" xfId="8" applyNumberFormat="1" applyFont="1" applyFill="1" applyBorder="1" applyAlignment="1">
      <alignment horizontal="center" vertical="center" wrapText="1"/>
    </xf>
    <xf numFmtId="9" fontId="12" fillId="4" borderId="13" xfId="8" applyNumberFormat="1" applyFont="1" applyFill="1" applyBorder="1" applyAlignment="1">
      <alignment horizontal="center" vertical="center" wrapText="1"/>
    </xf>
    <xf numFmtId="2" fontId="12" fillId="0" borderId="13" xfId="8" applyNumberFormat="1" applyFont="1" applyFill="1" applyBorder="1" applyAlignment="1">
      <alignment horizontal="center" vertical="center" wrapText="1"/>
    </xf>
    <xf numFmtId="9" fontId="12" fillId="0" borderId="13" xfId="8" applyNumberFormat="1" applyFont="1" applyFill="1" applyBorder="1" applyAlignment="1">
      <alignment horizontal="center" vertical="center" wrapText="1"/>
    </xf>
    <xf numFmtId="0" fontId="12" fillId="0" borderId="13" xfId="8" applyFont="1" applyFill="1" applyBorder="1" applyAlignment="1">
      <alignment horizontal="center" vertical="center" wrapText="1"/>
    </xf>
    <xf numFmtId="2" fontId="12" fillId="5" borderId="14" xfId="8" applyNumberFormat="1" applyFont="1" applyFill="1" applyBorder="1" applyAlignment="1">
      <alignment horizontal="center" vertical="center" wrapText="1"/>
    </xf>
    <xf numFmtId="2" fontId="12" fillId="4" borderId="0" xfId="8" applyNumberFormat="1" applyFont="1" applyFill="1" applyBorder="1" applyAlignment="1">
      <alignment horizontal="center" vertical="center" wrapText="1"/>
    </xf>
    <xf numFmtId="0" fontId="17" fillId="0" borderId="0" xfId="8" applyFont="1" applyBorder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2" fillId="4" borderId="15" xfId="8" applyFont="1" applyFill="1" applyBorder="1" applyAlignment="1">
      <alignment horizontal="center" vertical="center" wrapText="1"/>
    </xf>
    <xf numFmtId="0" fontId="12" fillId="4" borderId="16" xfId="8" applyFont="1" applyFill="1" applyBorder="1" applyAlignment="1">
      <alignment horizontal="center" vertical="center" wrapText="1"/>
    </xf>
    <xf numFmtId="49" fontId="12" fillId="4" borderId="17" xfId="8" applyNumberFormat="1" applyFont="1" applyFill="1" applyBorder="1" applyAlignment="1">
      <alignment horizontal="center" vertical="center" wrapText="1"/>
    </xf>
    <xf numFmtId="0" fontId="12" fillId="4" borderId="17" xfId="8" applyFont="1" applyFill="1" applyBorder="1" applyAlignment="1">
      <alignment horizontal="center" vertical="center" wrapText="1"/>
    </xf>
    <xf numFmtId="2" fontId="12" fillId="4" borderId="17" xfId="8" applyNumberFormat="1" applyFont="1" applyFill="1" applyBorder="1" applyAlignment="1">
      <alignment horizontal="center" vertical="center" wrapText="1"/>
    </xf>
    <xf numFmtId="9" fontId="12" fillId="4" borderId="17" xfId="8" applyNumberFormat="1" applyFont="1" applyFill="1" applyBorder="1" applyAlignment="1">
      <alignment horizontal="center" vertical="center" wrapText="1"/>
    </xf>
    <xf numFmtId="2" fontId="12" fillId="0" borderId="17" xfId="8" applyNumberFormat="1" applyFont="1" applyFill="1" applyBorder="1" applyAlignment="1">
      <alignment horizontal="center" vertical="center" wrapText="1"/>
    </xf>
    <xf numFmtId="9" fontId="12" fillId="0" borderId="17" xfId="8" applyNumberFormat="1" applyFont="1" applyFill="1" applyBorder="1" applyAlignment="1">
      <alignment horizontal="center" vertical="center" wrapText="1"/>
    </xf>
    <xf numFmtId="2" fontId="12" fillId="0" borderId="64" xfId="8" applyNumberFormat="1" applyFont="1" applyFill="1" applyBorder="1" applyAlignment="1">
      <alignment horizontal="center" vertical="center" wrapText="1"/>
    </xf>
    <xf numFmtId="2" fontId="12" fillId="0" borderId="43" xfId="8" applyNumberFormat="1" applyFont="1" applyFill="1" applyBorder="1" applyAlignment="1">
      <alignment horizontal="center" vertical="center" wrapText="1"/>
    </xf>
    <xf numFmtId="2" fontId="12" fillId="5" borderId="65" xfId="8" applyNumberFormat="1" applyFont="1" applyFill="1" applyBorder="1" applyAlignment="1">
      <alignment horizontal="center" vertical="center" wrapText="1"/>
    </xf>
    <xf numFmtId="0" fontId="17" fillId="0" borderId="66" xfId="8" applyFont="1" applyBorder="1" applyAlignment="1">
      <alignment vertical="center" wrapText="1"/>
    </xf>
    <xf numFmtId="0" fontId="17" fillId="0" borderId="67" xfId="8" applyFont="1" applyBorder="1" applyAlignment="1">
      <alignment vertical="center" wrapText="1"/>
    </xf>
    <xf numFmtId="0" fontId="17" fillId="0" borderId="68" xfId="8" applyFont="1" applyBorder="1" applyAlignment="1">
      <alignment vertical="center" wrapText="1"/>
    </xf>
    <xf numFmtId="0" fontId="17" fillId="0" borderId="0" xfId="8" applyFont="1" applyBorder="1" applyAlignment="1">
      <alignment vertical="center" wrapText="1"/>
    </xf>
    <xf numFmtId="0" fontId="12" fillId="0" borderId="67" xfId="8" applyFont="1" applyBorder="1" applyAlignment="1">
      <alignment horizontal="center" vertical="center"/>
    </xf>
    <xf numFmtId="0" fontId="12" fillId="0" borderId="68" xfId="8" applyFont="1" applyBorder="1" applyAlignment="1">
      <alignment horizontal="center" vertical="center"/>
    </xf>
    <xf numFmtId="0" fontId="12" fillId="0" borderId="69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2" fillId="0" borderId="70" xfId="8" applyFont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 wrapText="1"/>
    </xf>
    <xf numFmtId="0" fontId="17" fillId="0" borderId="71" xfId="8" applyFont="1" applyFill="1" applyBorder="1" applyAlignment="1">
      <alignment vertical="center" wrapText="1"/>
    </xf>
    <xf numFmtId="0" fontId="17" fillId="0" borderId="72" xfId="8" applyFont="1" applyFill="1" applyBorder="1" applyAlignment="1">
      <alignment vertical="center" wrapText="1"/>
    </xf>
    <xf numFmtId="0" fontId="17" fillId="0" borderId="73" xfId="8" applyFont="1" applyBorder="1" applyAlignment="1">
      <alignment vertical="center" wrapText="1"/>
    </xf>
    <xf numFmtId="0" fontId="17" fillId="0" borderId="71" xfId="8" applyFont="1" applyBorder="1" applyAlignment="1">
      <alignment vertical="center" wrapText="1"/>
    </xf>
    <xf numFmtId="0" fontId="17" fillId="0" borderId="72" xfId="8" applyFont="1" applyBorder="1" applyAlignment="1">
      <alignment vertical="center" wrapText="1"/>
    </xf>
    <xf numFmtId="0" fontId="12" fillId="0" borderId="72" xfId="8" applyFont="1" applyBorder="1" applyAlignment="1">
      <alignment horizontal="center" vertical="center"/>
    </xf>
    <xf numFmtId="0" fontId="12" fillId="0" borderId="73" xfId="8" applyFont="1" applyBorder="1" applyAlignment="1">
      <alignment horizontal="center" vertical="center"/>
    </xf>
    <xf numFmtId="0" fontId="12" fillId="4" borderId="19" xfId="6" applyFont="1" applyFill="1" applyBorder="1"/>
    <xf numFmtId="0" fontId="17" fillId="4" borderId="17" xfId="6" applyFont="1" applyFill="1" applyBorder="1"/>
    <xf numFmtId="49" fontId="17" fillId="4" borderId="17" xfId="7" applyNumberFormat="1" applyFont="1" applyFill="1" applyBorder="1" applyAlignment="1">
      <alignment horizontal="center"/>
    </xf>
    <xf numFmtId="0" fontId="17" fillId="4" borderId="17" xfId="8" applyFont="1" applyFill="1" applyBorder="1"/>
    <xf numFmtId="0" fontId="17" fillId="4" borderId="17" xfId="9" applyFont="1" applyFill="1" applyBorder="1" applyAlignment="1">
      <alignment horizontal="center"/>
    </xf>
    <xf numFmtId="2" fontId="17" fillId="4" borderId="17" xfId="9" applyNumberFormat="1" applyFont="1" applyFill="1" applyBorder="1" applyAlignment="1">
      <alignment horizontal="center"/>
    </xf>
    <xf numFmtId="9" fontId="17" fillId="4" borderId="17" xfId="8" applyNumberFormat="1" applyFont="1" applyFill="1" applyBorder="1" applyAlignment="1">
      <alignment horizontal="center"/>
    </xf>
    <xf numFmtId="0" fontId="17" fillId="4" borderId="17" xfId="8" applyFont="1" applyFill="1" applyBorder="1" applyAlignment="1">
      <alignment horizontal="center"/>
    </xf>
    <xf numFmtId="2" fontId="17" fillId="4" borderId="17" xfId="8" applyNumberFormat="1" applyFont="1" applyFill="1" applyBorder="1" applyAlignment="1">
      <alignment horizontal="center"/>
    </xf>
    <xf numFmtId="2" fontId="17" fillId="0" borderId="17" xfId="8" applyNumberFormat="1" applyFont="1" applyFill="1" applyBorder="1" applyAlignment="1">
      <alignment horizontal="center"/>
    </xf>
    <xf numFmtId="9" fontId="17" fillId="0" borderId="17" xfId="8" applyNumberFormat="1" applyFont="1" applyFill="1" applyBorder="1" applyAlignment="1">
      <alignment horizontal="center"/>
    </xf>
    <xf numFmtId="2" fontId="17" fillId="0" borderId="64" xfId="8" applyNumberFormat="1" applyFont="1" applyFill="1" applyBorder="1" applyAlignment="1">
      <alignment horizontal="center"/>
    </xf>
    <xf numFmtId="0" fontId="17" fillId="0" borderId="64" xfId="8" applyFont="1" applyFill="1" applyBorder="1" applyAlignment="1">
      <alignment horizontal="center"/>
    </xf>
    <xf numFmtId="0" fontId="17" fillId="5" borderId="18" xfId="8" applyFont="1" applyFill="1" applyBorder="1" applyAlignment="1">
      <alignment horizontal="center"/>
    </xf>
    <xf numFmtId="0" fontId="17" fillId="4" borderId="0" xfId="8" applyFont="1" applyFill="1" applyBorder="1" applyAlignment="1">
      <alignment horizontal="center"/>
    </xf>
    <xf numFmtId="0" fontId="17" fillId="0" borderId="71" xfId="8" applyFont="1" applyFill="1" applyBorder="1" applyAlignment="1">
      <alignment horizontal="center" vertical="center" wrapText="1"/>
    </xf>
    <xf numFmtId="0" fontId="17" fillId="0" borderId="72" xfId="8" applyFont="1" applyFill="1" applyBorder="1" applyAlignment="1">
      <alignment horizontal="center" vertical="center" wrapText="1"/>
    </xf>
    <xf numFmtId="0" fontId="17" fillId="0" borderId="73" xfId="8" applyFont="1" applyFill="1" applyBorder="1" applyAlignment="1">
      <alignment horizontal="center" vertical="center" wrapText="1"/>
    </xf>
    <xf numFmtId="0" fontId="17" fillId="0" borderId="0" xfId="8" applyFont="1" applyFill="1" applyBorder="1" applyAlignment="1">
      <alignment horizontal="center" vertical="center" wrapText="1"/>
    </xf>
    <xf numFmtId="0" fontId="17" fillId="0" borderId="74" xfId="8" applyFont="1" applyFill="1" applyBorder="1" applyAlignment="1">
      <alignment horizontal="center" vertical="center" wrapText="1"/>
    </xf>
    <xf numFmtId="0" fontId="17" fillId="0" borderId="75" xfId="8" applyFont="1" applyFill="1" applyBorder="1" applyAlignment="1">
      <alignment horizontal="center" vertical="center" wrapText="1"/>
    </xf>
    <xf numFmtId="0" fontId="17" fillId="0" borderId="76" xfId="8" applyFont="1" applyFill="1" applyBorder="1" applyAlignment="1">
      <alignment horizontal="center" vertical="center" wrapText="1"/>
    </xf>
    <xf numFmtId="0" fontId="17" fillId="4" borderId="25" xfId="6" applyFont="1" applyFill="1" applyBorder="1"/>
    <xf numFmtId="0" fontId="17" fillId="4" borderId="26" xfId="6" applyFont="1" applyFill="1" applyBorder="1"/>
    <xf numFmtId="2" fontId="17" fillId="4" borderId="27" xfId="7" applyNumberFormat="1" applyFont="1" applyFill="1" applyBorder="1" applyAlignment="1">
      <alignment horizontal="center"/>
    </xf>
    <xf numFmtId="0" fontId="17" fillId="4" borderId="27" xfId="8" applyFont="1" applyFill="1" applyBorder="1"/>
    <xf numFmtId="0" fontId="17" fillId="4" borderId="27" xfId="9" applyFont="1" applyFill="1" applyBorder="1" applyAlignment="1">
      <alignment horizontal="center"/>
    </xf>
    <xf numFmtId="2" fontId="17" fillId="4" borderId="27" xfId="9" applyNumberFormat="1" applyFont="1" applyFill="1" applyBorder="1" applyAlignment="1">
      <alignment horizontal="center"/>
    </xf>
    <xf numFmtId="9" fontId="17" fillId="4" borderId="27" xfId="8" applyNumberFormat="1" applyFont="1" applyFill="1" applyBorder="1" applyAlignment="1">
      <alignment horizontal="center"/>
    </xf>
    <xf numFmtId="0" fontId="17" fillId="4" borderId="27" xfId="8" applyFont="1" applyFill="1" applyBorder="1" applyAlignment="1">
      <alignment horizontal="center"/>
    </xf>
    <xf numFmtId="2" fontId="17" fillId="0" borderId="27" xfId="8" applyNumberFormat="1" applyFont="1" applyFill="1" applyBorder="1" applyAlignment="1">
      <alignment horizontal="center"/>
    </xf>
    <xf numFmtId="9" fontId="17" fillId="0" borderId="27" xfId="8" applyNumberFormat="1" applyFont="1" applyFill="1" applyBorder="1" applyAlignment="1">
      <alignment horizontal="center"/>
    </xf>
    <xf numFmtId="2" fontId="17" fillId="0" borderId="77" xfId="8" applyNumberFormat="1" applyFont="1" applyFill="1" applyBorder="1" applyAlignment="1">
      <alignment horizontal="center"/>
    </xf>
    <xf numFmtId="2" fontId="17" fillId="5" borderId="28" xfId="8" applyNumberFormat="1" applyFont="1" applyFill="1" applyBorder="1" applyAlignment="1">
      <alignment horizontal="center"/>
    </xf>
    <xf numFmtId="2" fontId="17" fillId="4" borderId="0" xfId="8" applyNumberFormat="1" applyFont="1" applyFill="1" applyBorder="1" applyAlignment="1">
      <alignment horizontal="center"/>
    </xf>
    <xf numFmtId="44" fontId="17" fillId="0" borderId="71" xfId="8" applyNumberFormat="1" applyFont="1" applyBorder="1" applyAlignment="1">
      <alignment vertical="center" wrapText="1"/>
    </xf>
    <xf numFmtId="44" fontId="17" fillId="0" borderId="72" xfId="8" applyNumberFormat="1" applyFont="1" applyBorder="1" applyAlignment="1">
      <alignment vertical="center" wrapText="1"/>
    </xf>
    <xf numFmtId="44" fontId="17" fillId="0" borderId="73" xfId="8" applyNumberFormat="1" applyFont="1" applyBorder="1" applyAlignment="1">
      <alignment vertical="center" wrapText="1"/>
    </xf>
    <xf numFmtId="44" fontId="17" fillId="0" borderId="72" xfId="8" applyNumberFormat="1" applyFont="1" applyBorder="1"/>
    <xf numFmtId="44" fontId="17" fillId="0" borderId="73" xfId="8" applyNumberFormat="1" applyFont="1" applyBorder="1"/>
    <xf numFmtId="42" fontId="17" fillId="0" borderId="0" xfId="8" applyNumberFormat="1" applyFont="1"/>
    <xf numFmtId="0" fontId="17" fillId="4" borderId="38" xfId="6" applyFont="1" applyFill="1" applyBorder="1"/>
    <xf numFmtId="0" fontId="17" fillId="4" borderId="39" xfId="6" applyFont="1" applyFill="1" applyBorder="1"/>
    <xf numFmtId="2" fontId="17" fillId="4" borderId="40" xfId="7" quotePrefix="1" applyNumberFormat="1" applyFont="1" applyFill="1" applyBorder="1" applyAlignment="1">
      <alignment horizontal="center"/>
    </xf>
    <xf numFmtId="0" fontId="17" fillId="4" borderId="40" xfId="8" applyFont="1" applyFill="1" applyBorder="1"/>
    <xf numFmtId="0" fontId="17" fillId="4" borderId="40" xfId="9" applyFont="1" applyFill="1" applyBorder="1" applyAlignment="1">
      <alignment horizontal="center"/>
    </xf>
    <xf numFmtId="2" fontId="17" fillId="4" borderId="40" xfId="9" applyNumberFormat="1" applyFont="1" applyFill="1" applyBorder="1" applyAlignment="1">
      <alignment horizontal="center"/>
    </xf>
    <xf numFmtId="9" fontId="17" fillId="4" borderId="40" xfId="8" applyNumberFormat="1" applyFont="1" applyFill="1" applyBorder="1" applyAlignment="1">
      <alignment horizontal="center"/>
    </xf>
    <xf numFmtId="0" fontId="17" fillId="4" borderId="40" xfId="8" applyFont="1" applyFill="1" applyBorder="1" applyAlignment="1">
      <alignment horizontal="center"/>
    </xf>
    <xf numFmtId="2" fontId="17" fillId="0" borderId="40" xfId="8" applyNumberFormat="1" applyFont="1" applyFill="1" applyBorder="1" applyAlignment="1">
      <alignment horizontal="center"/>
    </xf>
    <xf numFmtId="9" fontId="17" fillId="0" borderId="40" xfId="8" applyNumberFormat="1" applyFont="1" applyFill="1" applyBorder="1" applyAlignment="1">
      <alignment horizontal="center"/>
    </xf>
    <xf numFmtId="2" fontId="17" fillId="0" borderId="78" xfId="8" applyNumberFormat="1" applyFont="1" applyFill="1" applyBorder="1" applyAlignment="1">
      <alignment horizontal="center"/>
    </xf>
    <xf numFmtId="2" fontId="17" fillId="5" borderId="41" xfId="8" applyNumberFormat="1" applyFont="1" applyFill="1" applyBorder="1" applyAlignment="1">
      <alignment horizontal="center"/>
    </xf>
    <xf numFmtId="44" fontId="17" fillId="0" borderId="79" xfId="8" applyNumberFormat="1" applyFont="1" applyBorder="1" applyAlignment="1">
      <alignment vertical="center" wrapText="1"/>
    </xf>
    <xf numFmtId="44" fontId="17" fillId="0" borderId="80" xfId="8" applyNumberFormat="1" applyFont="1" applyBorder="1"/>
    <xf numFmtId="44" fontId="17" fillId="0" borderId="81" xfId="8" applyNumberFormat="1" applyFont="1" applyBorder="1"/>
    <xf numFmtId="44" fontId="17" fillId="0" borderId="82" xfId="8" applyNumberFormat="1" applyFont="1" applyBorder="1" applyAlignment="1">
      <alignment vertical="center" wrapText="1"/>
    </xf>
    <xf numFmtId="44" fontId="17" fillId="0" borderId="83" xfId="8" applyNumberFormat="1" applyFont="1" applyBorder="1" applyAlignment="1">
      <alignment vertical="center" wrapText="1"/>
    </xf>
    <xf numFmtId="44" fontId="17" fillId="0" borderId="84" xfId="8" applyNumberFormat="1" applyFont="1" applyBorder="1" applyAlignment="1">
      <alignment vertical="center" wrapText="1"/>
    </xf>
    <xf numFmtId="2" fontId="17" fillId="0" borderId="85" xfId="8" applyNumberFormat="1" applyFont="1" applyFill="1" applyBorder="1" applyAlignment="1">
      <alignment horizontal="center"/>
    </xf>
    <xf numFmtId="2" fontId="17" fillId="5" borderId="32" xfId="8" applyNumberFormat="1" applyFont="1" applyFill="1" applyBorder="1" applyAlignment="1">
      <alignment horizontal="center"/>
    </xf>
    <xf numFmtId="44" fontId="17" fillId="0" borderId="71" xfId="8" applyNumberFormat="1" applyFont="1" applyBorder="1"/>
    <xf numFmtId="0" fontId="17" fillId="0" borderId="0" xfId="8" applyFont="1" applyBorder="1"/>
    <xf numFmtId="1" fontId="17" fillId="4" borderId="27" xfId="7" applyNumberFormat="1" applyFont="1" applyFill="1" applyBorder="1" applyAlignment="1">
      <alignment horizontal="center"/>
    </xf>
    <xf numFmtId="44" fontId="17" fillId="0" borderId="86" xfId="8" applyNumberFormat="1" applyFont="1" applyBorder="1"/>
    <xf numFmtId="44" fontId="17" fillId="0" borderId="75" xfId="8" applyNumberFormat="1" applyFont="1" applyBorder="1"/>
    <xf numFmtId="44" fontId="17" fillId="0" borderId="87" xfId="8" applyNumberFormat="1" applyFont="1" applyBorder="1"/>
    <xf numFmtId="0" fontId="12" fillId="4" borderId="15" xfId="6" applyFont="1" applyFill="1" applyBorder="1"/>
    <xf numFmtId="0" fontId="17" fillId="4" borderId="16" xfId="6" applyFont="1" applyFill="1" applyBorder="1"/>
    <xf numFmtId="0" fontId="17" fillId="4" borderId="24" xfId="6" applyFont="1" applyFill="1" applyBorder="1"/>
    <xf numFmtId="2" fontId="17" fillId="4" borderId="17" xfId="7" applyNumberFormat="1" applyFont="1" applyFill="1" applyBorder="1" applyAlignment="1">
      <alignment horizontal="center"/>
    </xf>
    <xf numFmtId="2" fontId="17" fillId="0" borderId="88" xfId="8" applyNumberFormat="1" applyFont="1" applyFill="1" applyBorder="1" applyAlignment="1">
      <alignment horizontal="center"/>
    </xf>
    <xf numFmtId="2" fontId="17" fillId="5" borderId="65" xfId="8" applyNumberFormat="1" applyFont="1" applyFill="1" applyBorder="1" applyAlignment="1">
      <alignment horizontal="center"/>
    </xf>
    <xf numFmtId="44" fontId="17" fillId="0" borderId="66" xfId="8" applyNumberFormat="1" applyFont="1" applyBorder="1"/>
    <xf numFmtId="44" fontId="17" fillId="0" borderId="67" xfId="8" applyNumberFormat="1" applyFont="1" applyBorder="1"/>
    <xf numFmtId="44" fontId="17" fillId="0" borderId="68" xfId="8" applyNumberFormat="1" applyFont="1" applyBorder="1"/>
    <xf numFmtId="0" fontId="17" fillId="4" borderId="29" xfId="6" applyFont="1" applyFill="1" applyBorder="1"/>
    <xf numFmtId="0" fontId="17" fillId="4" borderId="30" xfId="6" applyFont="1" applyFill="1" applyBorder="1"/>
    <xf numFmtId="1" fontId="17" fillId="4" borderId="31" xfId="7" applyNumberFormat="1" applyFont="1" applyFill="1" applyBorder="1" applyAlignment="1">
      <alignment horizontal="center"/>
    </xf>
    <xf numFmtId="0" fontId="17" fillId="4" borderId="31" xfId="8" applyFont="1" applyFill="1" applyBorder="1"/>
    <xf numFmtId="0" fontId="17" fillId="4" borderId="31" xfId="9" applyFont="1" applyFill="1" applyBorder="1" applyAlignment="1">
      <alignment horizontal="center"/>
    </xf>
    <xf numFmtId="2" fontId="17" fillId="4" borderId="31" xfId="9" applyNumberFormat="1" applyFont="1" applyFill="1" applyBorder="1" applyAlignment="1">
      <alignment horizontal="center"/>
    </xf>
    <xf numFmtId="9" fontId="17" fillId="4" borderId="31" xfId="8" applyNumberFormat="1" applyFont="1" applyFill="1" applyBorder="1" applyAlignment="1">
      <alignment horizontal="center"/>
    </xf>
    <xf numFmtId="0" fontId="17" fillId="4" borderId="31" xfId="8" applyFont="1" applyFill="1" applyBorder="1" applyAlignment="1">
      <alignment horizontal="center"/>
    </xf>
    <xf numFmtId="2" fontId="17" fillId="4" borderId="31" xfId="7" applyNumberFormat="1" applyFont="1" applyFill="1" applyBorder="1" applyAlignment="1">
      <alignment horizontal="center"/>
    </xf>
    <xf numFmtId="2" fontId="17" fillId="0" borderId="31" xfId="8" applyNumberFormat="1" applyFont="1" applyFill="1" applyBorder="1" applyAlignment="1">
      <alignment horizontal="center"/>
    </xf>
    <xf numFmtId="0" fontId="17" fillId="4" borderId="20" xfId="6" applyFont="1" applyFill="1" applyBorder="1"/>
    <xf numFmtId="0" fontId="17" fillId="4" borderId="21" xfId="6" applyFont="1" applyFill="1" applyBorder="1"/>
    <xf numFmtId="2" fontId="17" fillId="4" borderId="22" xfId="7" applyNumberFormat="1" applyFont="1" applyFill="1" applyBorder="1" applyAlignment="1">
      <alignment horizontal="center"/>
    </xf>
    <xf numFmtId="0" fontId="17" fillId="4" borderId="22" xfId="8" applyFont="1" applyFill="1" applyBorder="1"/>
    <xf numFmtId="0" fontId="17" fillId="4" borderId="22" xfId="9" applyFont="1" applyFill="1" applyBorder="1" applyAlignment="1">
      <alignment horizontal="center"/>
    </xf>
    <xf numFmtId="2" fontId="17" fillId="4" borderId="22" xfId="9" applyNumberFormat="1" applyFont="1" applyFill="1" applyBorder="1" applyAlignment="1">
      <alignment horizontal="center"/>
    </xf>
    <xf numFmtId="9" fontId="17" fillId="4" borderId="22" xfId="8" applyNumberFormat="1" applyFont="1" applyFill="1" applyBorder="1" applyAlignment="1">
      <alignment horizontal="center"/>
    </xf>
    <xf numFmtId="0" fontId="17" fillId="4" borderId="22" xfId="8" applyFont="1" applyFill="1" applyBorder="1" applyAlignment="1">
      <alignment horizontal="center"/>
    </xf>
    <xf numFmtId="2" fontId="17" fillId="0" borderId="22" xfId="8" applyNumberFormat="1" applyFont="1" applyFill="1" applyBorder="1" applyAlignment="1">
      <alignment horizontal="center"/>
    </xf>
    <xf numFmtId="9" fontId="17" fillId="0" borderId="22" xfId="8" applyNumberFormat="1" applyFont="1" applyFill="1" applyBorder="1" applyAlignment="1">
      <alignment horizontal="center"/>
    </xf>
    <xf numFmtId="2" fontId="17" fillId="0" borderId="89" xfId="8" applyNumberFormat="1" applyFont="1" applyFill="1" applyBorder="1" applyAlignment="1">
      <alignment horizontal="center"/>
    </xf>
    <xf numFmtId="2" fontId="17" fillId="5" borderId="23" xfId="8" applyNumberFormat="1" applyFont="1" applyFill="1" applyBorder="1" applyAlignment="1">
      <alignment horizontal="center"/>
    </xf>
    <xf numFmtId="44" fontId="17" fillId="0" borderId="79" xfId="8" applyNumberFormat="1" applyFont="1" applyBorder="1"/>
    <xf numFmtId="44" fontId="17" fillId="0" borderId="82" xfId="8" applyNumberFormat="1" applyFont="1" applyBorder="1"/>
    <xf numFmtId="44" fontId="17" fillId="0" borderId="83" xfId="8" applyNumberFormat="1" applyFont="1" applyBorder="1"/>
    <xf numFmtId="44" fontId="17" fillId="0" borderId="84" xfId="8" applyNumberFormat="1" applyFont="1" applyBorder="1"/>
    <xf numFmtId="2" fontId="17" fillId="4" borderId="27" xfId="7" quotePrefix="1" applyNumberFormat="1" applyFont="1" applyFill="1" applyBorder="1" applyAlignment="1">
      <alignment horizontal="center"/>
    </xf>
    <xf numFmtId="2" fontId="17" fillId="4" borderId="27" xfId="8" applyNumberFormat="1" applyFont="1" applyFill="1" applyBorder="1" applyAlignment="1">
      <alignment horizontal="center"/>
    </xf>
    <xf numFmtId="2" fontId="17" fillId="4" borderId="22" xfId="8" applyNumberFormat="1" applyFont="1" applyFill="1" applyBorder="1" applyAlignment="1">
      <alignment horizontal="center"/>
    </xf>
    <xf numFmtId="2" fontId="17" fillId="4" borderId="40" xfId="7" applyNumberFormat="1" applyFont="1" applyFill="1" applyBorder="1" applyAlignment="1">
      <alignment horizontal="center"/>
    </xf>
    <xf numFmtId="2" fontId="17" fillId="4" borderId="40" xfId="8" applyNumberFormat="1" applyFont="1" applyFill="1" applyBorder="1" applyAlignment="1">
      <alignment horizontal="center"/>
    </xf>
    <xf numFmtId="0" fontId="12" fillId="4" borderId="33" xfId="6" applyFont="1" applyFill="1" applyBorder="1"/>
    <xf numFmtId="0" fontId="17" fillId="4" borderId="34" xfId="6" applyFont="1" applyFill="1" applyBorder="1"/>
    <xf numFmtId="0" fontId="17" fillId="4" borderId="35" xfId="6" applyFont="1" applyFill="1" applyBorder="1"/>
    <xf numFmtId="2" fontId="17" fillId="4" borderId="36" xfId="7" applyNumberFormat="1" applyFont="1" applyFill="1" applyBorder="1" applyAlignment="1">
      <alignment horizontal="center"/>
    </xf>
    <xf numFmtId="0" fontId="17" fillId="4" borderId="36" xfId="8" applyFont="1" applyFill="1" applyBorder="1"/>
    <xf numFmtId="0" fontId="17" fillId="4" borderId="36" xfId="9" applyFont="1" applyFill="1" applyBorder="1" applyAlignment="1">
      <alignment horizontal="center"/>
    </xf>
    <xf numFmtId="2" fontId="17" fillId="4" borderId="36" xfId="9" applyNumberFormat="1" applyFont="1" applyFill="1" applyBorder="1" applyAlignment="1">
      <alignment horizontal="center"/>
    </xf>
    <xf numFmtId="9" fontId="17" fillId="4" borderId="36" xfId="8" applyNumberFormat="1" applyFont="1" applyFill="1" applyBorder="1" applyAlignment="1">
      <alignment horizontal="center"/>
    </xf>
    <xf numFmtId="0" fontId="17" fillId="4" borderId="36" xfId="8" applyFont="1" applyFill="1" applyBorder="1" applyAlignment="1">
      <alignment horizontal="center"/>
    </xf>
    <xf numFmtId="2" fontId="17" fillId="4" borderId="36" xfId="8" applyNumberFormat="1" applyFont="1" applyFill="1" applyBorder="1" applyAlignment="1">
      <alignment horizontal="center"/>
    </xf>
    <xf numFmtId="2" fontId="17" fillId="0" borderId="36" xfId="8" applyNumberFormat="1" applyFont="1" applyFill="1" applyBorder="1" applyAlignment="1">
      <alignment horizontal="center"/>
    </xf>
    <xf numFmtId="9" fontId="17" fillId="0" borderId="36" xfId="8" applyNumberFormat="1" applyFont="1" applyFill="1" applyBorder="1" applyAlignment="1">
      <alignment horizontal="center"/>
    </xf>
    <xf numFmtId="2" fontId="17" fillId="0" borderId="90" xfId="8" applyNumberFormat="1" applyFont="1" applyFill="1" applyBorder="1" applyAlignment="1">
      <alignment horizontal="center"/>
    </xf>
    <xf numFmtId="2" fontId="17" fillId="0" borderId="91" xfId="8" applyNumberFormat="1" applyFont="1" applyFill="1" applyBorder="1" applyAlignment="1">
      <alignment horizontal="center"/>
    </xf>
    <xf numFmtId="2" fontId="17" fillId="5" borderId="92" xfId="8" applyNumberFormat="1" applyFont="1" applyFill="1" applyBorder="1" applyAlignment="1">
      <alignment horizontal="center"/>
    </xf>
    <xf numFmtId="0" fontId="12" fillId="4" borderId="25" xfId="6" applyFont="1" applyFill="1" applyBorder="1"/>
    <xf numFmtId="0" fontId="17" fillId="4" borderId="33" xfId="6" applyFont="1" applyFill="1" applyBorder="1"/>
    <xf numFmtId="0" fontId="12" fillId="4" borderId="34" xfId="6" applyFont="1" applyFill="1" applyBorder="1"/>
    <xf numFmtId="0" fontId="17" fillId="0" borderId="36" xfId="8" applyFont="1" applyBorder="1"/>
    <xf numFmtId="2" fontId="17" fillId="5" borderId="37" xfId="8" applyNumberFormat="1" applyFont="1" applyFill="1" applyBorder="1" applyAlignment="1">
      <alignment horizontal="center"/>
    </xf>
    <xf numFmtId="0" fontId="12" fillId="4" borderId="16" xfId="6" applyFont="1" applyFill="1" applyBorder="1"/>
    <xf numFmtId="2" fontId="17" fillId="4" borderId="17" xfId="7" quotePrefix="1" applyNumberFormat="1" applyFont="1" applyFill="1" applyBorder="1" applyAlignment="1">
      <alignment horizontal="center"/>
    </xf>
    <xf numFmtId="0" fontId="17" fillId="0" borderId="17" xfId="8" applyFont="1" applyBorder="1"/>
    <xf numFmtId="2" fontId="17" fillId="5" borderId="18" xfId="8" applyNumberFormat="1" applyFont="1" applyFill="1" applyBorder="1" applyAlignment="1">
      <alignment horizontal="center"/>
    </xf>
    <xf numFmtId="0" fontId="17" fillId="4" borderId="93" xfId="8" applyFont="1" applyFill="1" applyBorder="1"/>
    <xf numFmtId="0" fontId="17" fillId="4" borderId="43" xfId="8" applyFont="1" applyFill="1" applyBorder="1"/>
    <xf numFmtId="0" fontId="17" fillId="0" borderId="27" xfId="8" applyFont="1" applyBorder="1"/>
    <xf numFmtId="2" fontId="17" fillId="4" borderId="31" xfId="8" applyNumberFormat="1" applyFont="1" applyFill="1" applyBorder="1" applyAlignment="1">
      <alignment horizontal="center"/>
    </xf>
    <xf numFmtId="9" fontId="17" fillId="0" borderId="31" xfId="8" applyNumberFormat="1" applyFont="1" applyFill="1" applyBorder="1" applyAlignment="1">
      <alignment horizontal="center"/>
    </xf>
    <xf numFmtId="0" fontId="17" fillId="0" borderId="22" xfId="8" applyFont="1" applyBorder="1"/>
    <xf numFmtId="44" fontId="17" fillId="0" borderId="94" xfId="8" applyNumberFormat="1" applyFont="1" applyBorder="1"/>
    <xf numFmtId="44" fontId="17" fillId="0" borderId="95" xfId="8" applyNumberFormat="1" applyFont="1" applyBorder="1"/>
    <xf numFmtId="44" fontId="17" fillId="0" borderId="96" xfId="8" applyNumberFormat="1" applyFont="1" applyBorder="1"/>
    <xf numFmtId="0" fontId="19" fillId="4" borderId="0" xfId="8" applyFont="1" applyFill="1" applyAlignment="1">
      <alignment horizontal="left"/>
    </xf>
    <xf numFmtId="2" fontId="20" fillId="4" borderId="0" xfId="8" applyNumberFormat="1" applyFont="1" applyFill="1" applyAlignment="1">
      <alignment horizontal="left"/>
    </xf>
    <xf numFmtId="0" fontId="20" fillId="4" borderId="0" xfId="8" applyFont="1" applyFill="1" applyAlignment="1">
      <alignment horizontal="left"/>
    </xf>
    <xf numFmtId="49" fontId="17" fillId="0" borderId="0" xfId="8" applyNumberFormat="1" applyFont="1" applyAlignment="1">
      <alignment horizontal="center"/>
    </xf>
    <xf numFmtId="0" fontId="17" fillId="0" borderId="0" xfId="8" applyFont="1" applyAlignment="1">
      <alignment horizontal="center"/>
    </xf>
    <xf numFmtId="2" fontId="17" fillId="0" borderId="0" xfId="8" applyNumberFormat="1" applyFont="1" applyAlignment="1">
      <alignment horizontal="center"/>
    </xf>
    <xf numFmtId="9" fontId="17" fillId="0" borderId="0" xfId="8" applyNumberFormat="1" applyFont="1" applyAlignment="1">
      <alignment horizontal="center"/>
    </xf>
    <xf numFmtId="0" fontId="12" fillId="4" borderId="26" xfId="6" applyFont="1" applyFill="1" applyBorder="1"/>
    <xf numFmtId="0" fontId="17" fillId="4" borderId="42" xfId="6" applyFont="1" applyFill="1" applyBorder="1"/>
    <xf numFmtId="0" fontId="17" fillId="0" borderId="42" xfId="8" applyFont="1" applyBorder="1"/>
    <xf numFmtId="0" fontId="17" fillId="0" borderId="39" xfId="8" applyFont="1" applyBorder="1"/>
    <xf numFmtId="0" fontId="17" fillId="4" borderId="36" xfId="6" applyFont="1" applyFill="1" applyBorder="1"/>
    <xf numFmtId="0" fontId="1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/>
    <xf numFmtId="0" fontId="17" fillId="4" borderId="24" xfId="6" quotePrefix="1" applyFont="1" applyFill="1" applyBorder="1"/>
    <xf numFmtId="165" fontId="0" fillId="2" borderId="0" xfId="0" applyNumberFormat="1" applyFill="1" applyBorder="1" applyAlignment="1">
      <alignment vertical="center"/>
    </xf>
    <xf numFmtId="44" fontId="6" fillId="2" borderId="54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4" fontId="4" fillId="2" borderId="0" xfId="0" applyNumberFormat="1" applyFont="1" applyFill="1" applyBorder="1" applyAlignment="1">
      <alignment horizontal="right" vertical="center" wrapText="1"/>
    </xf>
    <xf numFmtId="0" fontId="0" fillId="3" borderId="9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98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14" fontId="0" fillId="3" borderId="97" xfId="0" applyNumberFormat="1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14" fontId="0" fillId="3" borderId="98" xfId="0" applyNumberForma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 wrapText="1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15" fillId="0" borderId="52" xfId="0" applyFont="1" applyBorder="1" applyAlignment="1">
      <alignment vertical="center" wrapText="1"/>
    </xf>
    <xf numFmtId="0" fontId="12" fillId="0" borderId="58" xfId="8" applyFont="1" applyBorder="1" applyAlignment="1">
      <alignment horizontal="center" vertical="center" wrapText="1"/>
    </xf>
    <xf numFmtId="0" fontId="12" fillId="0" borderId="59" xfId="8" applyFont="1" applyBorder="1" applyAlignment="1">
      <alignment horizontal="center" vertical="center" wrapText="1"/>
    </xf>
    <xf numFmtId="0" fontId="12" fillId="0" borderId="60" xfId="8" applyFont="1" applyBorder="1" applyAlignment="1">
      <alignment horizontal="center" vertical="center" wrapText="1"/>
    </xf>
    <xf numFmtId="0" fontId="12" fillId="0" borderId="61" xfId="8" applyFont="1" applyBorder="1" applyAlignment="1">
      <alignment horizontal="center" vertical="center"/>
    </xf>
    <xf numFmtId="0" fontId="12" fillId="0" borderId="62" xfId="8" applyFont="1" applyBorder="1" applyAlignment="1">
      <alignment horizontal="center" vertical="center"/>
    </xf>
    <xf numFmtId="0" fontId="12" fillId="0" borderId="63" xfId="8" applyFont="1" applyBorder="1" applyAlignment="1">
      <alignment horizontal="center" vertical="center"/>
    </xf>
    <xf numFmtId="0" fontId="12" fillId="4" borderId="69" xfId="8" applyFont="1" applyFill="1" applyBorder="1" applyAlignment="1">
      <alignment horizontal="right" vertical="center" wrapText="1"/>
    </xf>
    <xf numFmtId="0" fontId="12" fillId="4" borderId="0" xfId="8" applyFont="1" applyFill="1" applyBorder="1" applyAlignment="1">
      <alignment horizontal="right" vertical="center" wrapText="1"/>
    </xf>
    <xf numFmtId="0" fontId="12" fillId="4" borderId="70" xfId="8" applyFont="1" applyFill="1" applyBorder="1" applyAlignment="1">
      <alignment horizontal="right" vertical="center" wrapText="1"/>
    </xf>
    <xf numFmtId="0" fontId="18" fillId="4" borderId="0" xfId="8" applyFont="1" applyFill="1" applyBorder="1" applyAlignment="1">
      <alignment horizontal="center"/>
    </xf>
    <xf numFmtId="0" fontId="12" fillId="4" borderId="12" xfId="8" applyFont="1" applyFill="1" applyBorder="1" applyAlignment="1">
      <alignment horizontal="center" vertical="center" wrapText="1"/>
    </xf>
    <xf numFmtId="0" fontId="12" fillId="4" borderId="13" xfId="8" applyFont="1" applyFill="1" applyBorder="1" applyAlignment="1">
      <alignment horizontal="center" vertical="center" wrapText="1"/>
    </xf>
  </cellXfs>
  <cellStyles count="10">
    <cellStyle name="Currency" xfId="1" builtinId="4"/>
    <cellStyle name="Normal" xfId="0" builtinId="0"/>
    <cellStyle name="Normal 10" xfId="2" xr:uid="{00000000-0005-0000-0000-000002000000}"/>
    <cellStyle name="Normal 10 2" xfId="8" xr:uid="{00000000-0005-0000-0000-000003000000}"/>
    <cellStyle name="Normal 6" xfId="3" xr:uid="{00000000-0005-0000-0000-000004000000}"/>
    <cellStyle name="Normal 6 2" xfId="6" xr:uid="{00000000-0005-0000-0000-000005000000}"/>
    <cellStyle name="Normal 7" xfId="4" xr:uid="{00000000-0005-0000-0000-000006000000}"/>
    <cellStyle name="Normal 7 2" xfId="7" xr:uid="{00000000-0005-0000-0000-000007000000}"/>
    <cellStyle name="Normal 9" xfId="5" xr:uid="{00000000-0005-0000-0000-000008000000}"/>
    <cellStyle name="Normal 9 2" xfId="9" xr:uid="{00000000-0005-0000-0000-000009000000}"/>
  </cellStyles>
  <dxfs count="66"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color theme="0"/>
      </font>
      <numFmt numFmtId="2" formatCode="0.00"/>
      <fill>
        <patternFill patternType="solid">
          <bgColor theme="0"/>
        </patternFill>
      </fill>
    </dxf>
    <dxf>
      <font>
        <b val="0"/>
        <i/>
        <color rgb="FFFF0000"/>
      </font>
    </dxf>
    <dxf>
      <font>
        <b val="0"/>
        <i/>
        <color rgb="FFFF000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/>
        </patternFill>
      </fill>
    </dxf>
    <dxf>
      <font>
        <b/>
        <i val="0"/>
        <strike val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1</xdr:row>
      <xdr:rowOff>0</xdr:rowOff>
    </xdr:from>
    <xdr:to>
      <xdr:col>1</xdr:col>
      <xdr:colOff>1866901</xdr:colOff>
      <xdr:row>3</xdr:row>
      <xdr:rowOff>212012</xdr:rowOff>
    </xdr:to>
    <xdr:pic>
      <xdr:nvPicPr>
        <xdr:cNvPr id="3" name="Picture 1" descr="C:\Users\brandon.forsythe\AppData\Local\Microsoft\Windows\INetCache\Content.Word\MIDLAND.JPG">
          <a:extLst>
            <a:ext uri="{FF2B5EF4-FFF2-40B4-BE49-F238E27FC236}">
              <a16:creationId xmlns:a16="http://schemas.microsoft.com/office/drawing/2014/main" id="{C761B692-0DF9-49BB-AC9F-DC9D9968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04775"/>
          <a:ext cx="1733550" cy="793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169828</xdr:colOff>
      <xdr:row>50</xdr:row>
      <xdr:rowOff>94226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53379-A1C4-417F-A5C2-4EDA2EAF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71428" cy="8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WFP01\Data\Project\FTW_TPTO\064424302_AustinRPA\TECH\2007_08_11_FTW_RIF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TW_TPTO\061301600-Midland%20Impact%20Fees\TECH\XLS\Midland_20190205_RIF%20-%20NO%20DRAINAGE%20-%20NO%20R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VSouth-Ph1"/>
      <sheetName val="PVSouth-PhIIB"/>
      <sheetName val="ParkVista-Timberland"/>
      <sheetName val="Beach-N. Tarrant"/>
      <sheetName val="McPherson-SummerCreek"/>
      <sheetName val="VWS West - N. Riverside"/>
      <sheetName val="ValleyRidgePhaseI"/>
      <sheetName val="Sample-M4U"/>
      <sheetName val="Sample-MA4D"/>
      <sheetName val="Sample-P6D"/>
      <sheetName val="NEW ROAD"/>
      <sheetName val="CCI"/>
      <sheetName val="PayItems"/>
      <sheetName val="N. Beach (1)"/>
      <sheetName val="N. Beach (2)"/>
      <sheetName val="N. Beach (3)"/>
      <sheetName val="Park Vista (1)"/>
      <sheetName val="Independence (1)"/>
      <sheetName val="Independence (2)"/>
      <sheetName val="Cleveland Gibbs"/>
      <sheetName val="Litsey (1)"/>
      <sheetName val="Litsey (2)"/>
      <sheetName val="Litsey (3)"/>
      <sheetName val="Eagle (1)"/>
      <sheetName val="Eagle (2)"/>
      <sheetName val="Henrietta"/>
      <sheetName val="Westport (1)"/>
      <sheetName val="Westport (2)"/>
      <sheetName val="Westport (3)"/>
      <sheetName val="Westport (4)"/>
      <sheetName val="Westport (5)"/>
      <sheetName val="Westport (6)"/>
      <sheetName val="Timberland (1)"/>
      <sheetName val="Timberland (2)"/>
      <sheetName val="Timberland (3)"/>
      <sheetName val="Summary"/>
      <sheetName val="CIP"/>
      <sheetName val="CIP-cost"/>
      <sheetName val="SupA"/>
      <sheetName val="E-A"/>
      <sheetName val="MaxFee"/>
      <sheetName val="PieCharts"/>
      <sheetName val="LUVMET"/>
      <sheetName val="LUVMET (2)"/>
      <sheetName val="10-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Median</v>
          </cell>
        </row>
        <row r="4">
          <cell r="A4" t="str">
            <v>EXISTING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rogress Key"/>
      <sheetName val="10-Yr (Growth)"/>
      <sheetName val="Existing LUA"/>
      <sheetName val="Ordinance_Table"/>
      <sheetName val="LUVMET10th"/>
      <sheetName val="LUVMET_Descriptions"/>
      <sheetName val="MaxFee"/>
      <sheetName val="RawData_IntersectionsA"/>
      <sheetName val="RawData_Projects_A"/>
      <sheetName val="Summary (A)"/>
      <sheetName val="A1 Occidental Pkwy (1)"/>
      <sheetName val="A2 Green Tree Blvd (1)"/>
      <sheetName val="A3 Mockingbird Ln (1)"/>
      <sheetName val="A4 Mockingbird Ln (2)"/>
      <sheetName val="A5 Mockingbird Ln (3)"/>
      <sheetName val="A6 Mockingbird Ln (4)"/>
      <sheetName val="A7 Mockingbird Ln (5)"/>
      <sheetName val="A8 Mockingbird Ln (6)"/>
      <sheetName val="A9 Mockingbird Ln (7)"/>
      <sheetName val="A10 Mockingbird Ln (8)"/>
      <sheetName val="A11 Mockingbird Ln (9)"/>
      <sheetName val="A12 Mockingbird Ln (10)"/>
      <sheetName val="A13 Mockingbird Ln (11) "/>
      <sheetName val="A14 Mockingbird Ln (12)"/>
      <sheetName val="A15 Briarwood Ave (1)"/>
      <sheetName val="A16 Briarwood Ave (2)"/>
      <sheetName val="A17 Briarwood Ave (3)"/>
      <sheetName val="A18 Briarwood Ave (4)"/>
      <sheetName val="A19, C2 Wadley Ave (1)"/>
      <sheetName val="A20 CR 1250 (1)"/>
      <sheetName val="A21 Avalon Dr (1)"/>
      <sheetName val="A22 Avalon Dr (2)"/>
      <sheetName val="A23 Holiday Hill Rd (1)"/>
      <sheetName val="A24 Holiday Hill Rd (2)"/>
      <sheetName val="A25 Holiday Hill Rd (3)"/>
      <sheetName val="A26 Holiday Hill Rd (4)"/>
      <sheetName val="A27 Holiday Hill Rd (5)"/>
      <sheetName val="A28 Midland Dr (1)"/>
      <sheetName val="A29 Midland Dr (2)"/>
      <sheetName val="A30 Midland Dr (3)"/>
      <sheetName val="A31 Midkiff (1)"/>
      <sheetName val="A32, B12 Garfield St (1)"/>
      <sheetName val="A33, B13 Garfield St (2)"/>
      <sheetName val="RawData_IntersectionsB"/>
      <sheetName val="RawData_Projects_B"/>
      <sheetName val="Summary (B)"/>
      <sheetName val="B1 Occidental Pkwy (1)"/>
      <sheetName val="B2 Occidental Pkwy (2)"/>
      <sheetName val="B3 Occidental Pkwy (3)"/>
      <sheetName val="B4 Passage Way (1)"/>
      <sheetName val="B5 Passage - Big Spring (1)"/>
      <sheetName val="B6 Mockingbird Ln (7)"/>
      <sheetName val="B7 Mockingbird Ln (8)"/>
      <sheetName val="B8 Mockingbird Ln (9)"/>
      <sheetName val="B9, D1 Wadley Ave (1)"/>
      <sheetName val="B10, D2 CR 72 (1)"/>
      <sheetName val="B11, D3 CR 72 (2)"/>
      <sheetName val="A32, B12 Garfield St (2)"/>
      <sheetName val="A33, B13 Garfield St (3)"/>
      <sheetName val="B14 A St (1)"/>
      <sheetName val="B15 A St (2)"/>
      <sheetName val="B16 Big Spring St (1)"/>
      <sheetName val="B17 Big Spring St (2)"/>
      <sheetName val="B18 Big Spring St (3)"/>
      <sheetName val="B19 Fairgrounds Rd (1)"/>
      <sheetName val="B20 Todd Dr (1)"/>
      <sheetName val="B21 Todd Dr (2)"/>
      <sheetName val="B22 Todd Dr (3)"/>
      <sheetName val="B23 Elkins Rd (1)"/>
      <sheetName val="B24 Nadine and Tom Craddick (1)"/>
      <sheetName val="B25 Big Spring St (1)"/>
      <sheetName val="B26 Big Spring St (2)"/>
      <sheetName val="B27, D20 Wadley Ave (1)"/>
      <sheetName val="RawData_IntersectionsC"/>
      <sheetName val="RawData_Projects_C"/>
      <sheetName val="Summary (C)"/>
      <sheetName val="C1 Wadley Ave (1)"/>
      <sheetName val="A19, C2 Wadley Ave (2)"/>
      <sheetName val="C3 Florida Ave (3)"/>
      <sheetName val="C4 Harris Rd (1)"/>
      <sheetName val="C5 Harris Rd (2)"/>
      <sheetName val="C6 Ottis Rd (1)"/>
      <sheetName val="C7 Warehouse-Midkiff (1)"/>
      <sheetName val="C8 Warehouse-Midkiff (2)"/>
      <sheetName val="C9 CR 111"/>
      <sheetName val="C10 CR 127 (1)"/>
      <sheetName val="C11 CR 127 (2)"/>
      <sheetName val="C12 CR 127 (3)"/>
      <sheetName val="C13 CR 127 (4)"/>
      <sheetName val="C14 Avalon Dr (1)"/>
      <sheetName val="C15 Antelope Trl (1)"/>
      <sheetName val="C16 Antelope Trl (2)"/>
      <sheetName val="C17 Antelope Trl (3)"/>
      <sheetName val="C18 Market St (1)"/>
      <sheetName val="C19 Warehouse Rd (1)"/>
      <sheetName val="C20 Midkiff Rd (1)"/>
      <sheetName val="C21 Andrews Hwy (1)"/>
      <sheetName val="C22 Andrews Hwy (2)"/>
      <sheetName val="C23 Wall St (1)"/>
      <sheetName val="C24, D18 Andrews Hwy (1)"/>
      <sheetName val="C25, D19 Garfield (3)"/>
      <sheetName val="C26 Wadley Ave (1)"/>
      <sheetName val="C27 Deauville Blvd (1)"/>
      <sheetName val="C28 Avalon Dr (1)"/>
      <sheetName val="C29 Thomason Dr (1)"/>
      <sheetName val="C30 Tradewinds Blvd (1)"/>
      <sheetName val="RawData_IntersectionsD"/>
      <sheetName val="RawData_Projects_D"/>
      <sheetName val="Summary (D)"/>
      <sheetName val="D1, B9 Wadley Ave (2)"/>
      <sheetName val="D2, B10 CR 72 (1)"/>
      <sheetName val="D3, B11 CR 72 (2)"/>
      <sheetName val="D4 Scharbauer - Golf Course (1)"/>
      <sheetName val="D5 Golf Course Rd (1)"/>
      <sheetName val="D6 Golf Course Rd (2)"/>
      <sheetName val="D7 Golf Course Rd (3)"/>
      <sheetName val="D8 Industrial Ave (1)"/>
      <sheetName val="D9 Wolcott Ave (1)"/>
      <sheetName val="D10 Longview Ave (1)"/>
      <sheetName val="D11 Longview Ave (2)"/>
      <sheetName val="D12 Latta St (1)"/>
      <sheetName val="D13 Latta St (2)"/>
      <sheetName val="D14 Fairgrounds Rd (1)"/>
      <sheetName val="D15 Todd Dr (1)"/>
      <sheetName val="D16 Elkins Rd (1)"/>
      <sheetName val="D17 Elkins Rd (2)"/>
      <sheetName val="D18, C24 Andrews Hwy (1)"/>
      <sheetName val="D19,C25 Garfield (3)"/>
      <sheetName val="D20, B27 Wadley Ave (1)"/>
      <sheetName val="RIP"/>
      <sheetName val="RIP-cost"/>
      <sheetName val="SupA"/>
      <sheetName val="SupB"/>
      <sheetName val="Sup C"/>
      <sheetName val="Sup D"/>
      <sheetName val="DataEdit"/>
      <sheetName val="Lookup"/>
      <sheetName val="RawData_Segments_A"/>
      <sheetName val="E-A"/>
      <sheetName val="RawData_Segments_B"/>
      <sheetName val="E-B"/>
      <sheetName val="RawData_Segments_C"/>
      <sheetName val="E-C"/>
      <sheetName val="RawData_Segments_D"/>
      <sheetName val="E-D"/>
      <sheetName val="Asphalt Maj Art (6D) Master"/>
      <sheetName val="Concrete Maj Art (6D) Master"/>
      <sheetName val="Asphalt Maj Art (5U) Master"/>
      <sheetName val="Asphalt Maj Art (4D) Master"/>
      <sheetName val="Asphalt Maj Art (4U) Master"/>
      <sheetName val="Asphalt Pri Col (4D) Master"/>
      <sheetName val="Concrete Min Col (3U) Master"/>
      <sheetName val="PieCharts A (City)"/>
      <sheetName val="PieCharts B (City)"/>
      <sheetName val="PieCharts C (City)"/>
      <sheetName val="PieCharts D (City)"/>
      <sheetName val="&lt;&lt;&lt; WORKED ON"/>
      <sheetName val="NOT WORKED ON &gt;&gt;&gt;"/>
      <sheetName val="RawData_Intersections_A"/>
      <sheetName val="RawData_Intersections_B"/>
      <sheetName val="RawData_Intersections_C"/>
      <sheetName val="Developer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1017</v>
          </cell>
          <cell r="E27">
            <v>781</v>
          </cell>
          <cell r="F27">
            <v>705</v>
          </cell>
          <cell r="G27">
            <v>1026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9"/>
  <sheetViews>
    <sheetView showGridLines="0" showRowColHeaders="0" tabSelected="1" view="pageBreakPreview" zoomScaleNormal="85" zoomScaleSheetLayoutView="100" workbookViewId="0">
      <selection activeCell="F42" sqref="F42"/>
    </sheetView>
  </sheetViews>
  <sheetFormatPr defaultRowHeight="12.75" x14ac:dyDescent="0.2"/>
  <cols>
    <col min="1" max="1" width="2.28515625" customWidth="1"/>
    <col min="2" max="2" width="35.7109375" customWidth="1"/>
    <col min="3" max="3" width="3.42578125" customWidth="1"/>
    <col min="4" max="4" width="21.42578125" customWidth="1"/>
    <col min="5" max="5" width="2.42578125" customWidth="1"/>
    <col min="6" max="6" width="11.85546875" customWidth="1"/>
    <col min="7" max="7" width="2.42578125" customWidth="1"/>
    <col min="8" max="8" width="17.5703125" customWidth="1"/>
    <col min="9" max="9" width="2.140625" customWidth="1"/>
    <col min="10" max="10" width="23.28515625" customWidth="1"/>
    <col min="11" max="11" width="2" customWidth="1"/>
    <col min="12" max="12" width="8.7109375" customWidth="1"/>
    <col min="13" max="13" width="31.7109375" hidden="1" customWidth="1"/>
    <col min="14" max="14" width="16.85546875" hidden="1" customWidth="1"/>
    <col min="15" max="15" width="17.42578125" hidden="1" customWidth="1"/>
    <col min="16" max="16" width="10.85546875" hidden="1" customWidth="1"/>
    <col min="17" max="17" width="23.85546875" hidden="1" customWidth="1"/>
    <col min="18" max="19" width="23" hidden="1" customWidth="1"/>
    <col min="20" max="20" width="62.5703125" hidden="1" customWidth="1"/>
    <col min="21" max="21" width="13.7109375" hidden="1" customWidth="1"/>
    <col min="22" max="24" width="9.140625" hidden="1" customWidth="1"/>
    <col min="25" max="27" width="9.140625" customWidth="1"/>
  </cols>
  <sheetData>
    <row r="1" spans="1:22" ht="8.25" customHeight="1" thickTop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9"/>
    </row>
    <row r="2" spans="1:22" ht="23.1" customHeight="1" x14ac:dyDescent="0.35">
      <c r="A2" s="308" t="s">
        <v>110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22" ht="23.25" x14ac:dyDescent="0.2">
      <c r="A3" s="42"/>
      <c r="B3" s="43"/>
      <c r="C3" s="43"/>
      <c r="D3" s="43" t="s">
        <v>187</v>
      </c>
      <c r="E3" s="43"/>
      <c r="F3" s="43"/>
      <c r="G3" s="43"/>
      <c r="H3" s="43"/>
      <c r="I3" s="43"/>
      <c r="J3" s="43"/>
      <c r="K3" s="57"/>
    </row>
    <row r="4" spans="1:22" ht="21" customHeight="1" x14ac:dyDescent="0.2">
      <c r="A4" s="42"/>
      <c r="B4" s="43"/>
      <c r="C4" s="319"/>
      <c r="D4" s="319"/>
      <c r="E4" s="319"/>
      <c r="F4" s="319"/>
      <c r="G4" s="43"/>
      <c r="H4" s="313" t="str">
        <f>IF(I14="","**ESTIMATE ONLY**","")</f>
        <v>**ESTIMATE ONLY**</v>
      </c>
      <c r="I4" s="313"/>
      <c r="J4" s="313"/>
      <c r="K4" s="314"/>
    </row>
    <row r="5" spans="1:22" ht="16.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28" t="s">
        <v>314</v>
      </c>
      <c r="K5" s="10"/>
    </row>
    <row r="6" spans="1:22" ht="24.75" customHeight="1" x14ac:dyDescent="0.2">
      <c r="A6" s="11"/>
      <c r="B6" s="315" t="s">
        <v>116</v>
      </c>
      <c r="C6" s="321"/>
      <c r="D6" s="321"/>
      <c r="E6" s="321"/>
      <c r="F6" s="321"/>
      <c r="G6" s="321"/>
      <c r="H6" s="321"/>
      <c r="I6" s="321"/>
      <c r="J6" s="321"/>
      <c r="K6" s="10"/>
    </row>
    <row r="7" spans="1:22" s="4" customFormat="1" ht="24.75" customHeight="1" x14ac:dyDescent="0.2">
      <c r="A7" s="11"/>
      <c r="B7" s="315"/>
      <c r="C7" s="321"/>
      <c r="D7" s="321"/>
      <c r="E7" s="321"/>
      <c r="F7" s="321"/>
      <c r="G7" s="321"/>
      <c r="H7" s="321"/>
      <c r="I7" s="321"/>
      <c r="J7" s="321"/>
      <c r="K7" s="10"/>
      <c r="R7" s="4" t="s">
        <v>139</v>
      </c>
      <c r="S7" s="6" t="s">
        <v>176</v>
      </c>
      <c r="U7" s="6"/>
    </row>
    <row r="8" spans="1:22" s="4" customFormat="1" ht="24.75" customHeight="1" x14ac:dyDescent="0.2">
      <c r="A8" s="11"/>
      <c r="B8" s="13" t="s">
        <v>177</v>
      </c>
      <c r="C8" s="318"/>
      <c r="D8" s="318"/>
      <c r="E8" s="318"/>
      <c r="F8" s="318"/>
      <c r="G8" s="318"/>
      <c r="H8" s="318"/>
      <c r="I8" s="318"/>
      <c r="J8" s="318"/>
      <c r="K8" s="10"/>
      <c r="P8" s="293"/>
    </row>
    <row r="9" spans="1:22" s="4" customFormat="1" ht="26.25" customHeight="1" x14ac:dyDescent="0.2">
      <c r="A9" s="11"/>
      <c r="B9" s="13" t="s">
        <v>178</v>
      </c>
      <c r="C9" s="318"/>
      <c r="D9" s="318"/>
      <c r="E9" s="318"/>
      <c r="F9" s="318"/>
      <c r="G9" s="318"/>
      <c r="H9" s="318"/>
      <c r="I9" s="318"/>
      <c r="J9" s="318"/>
      <c r="K9" s="10"/>
      <c r="M9" s="5"/>
      <c r="N9" s="5"/>
      <c r="O9" s="5" t="s">
        <v>112</v>
      </c>
      <c r="P9" s="293" t="str">
        <f>IF($D$14 &lt;&gt; "A (Northwest)","",IF(AND($D$15="On or before 9/30/2019",$D$16="10/1/2019 - On or before 9/30/2020"),"",IF(AND($D$15="On or before 9/30/2019",$D$16="10/1/2020 - On or before 9/30/2021"),22,IF(AND($D$15="On or before 9/30/2019",$D$16="On or after 10/1/2021"),27,IF($D$15="On or after 10/1/2019",27," ")))))</f>
        <v/>
      </c>
      <c r="Q9"/>
      <c r="R9" s="290" t="s">
        <v>293</v>
      </c>
      <c r="S9" s="35" t="b">
        <f>IF(AND(D15="On or before 9/30/2019",D16="10/1/2019 - On or before 9/30/2020"),1,IF(AND(D15="On or before 9/30/2019",D16="10/1/2020 - On or before 9/30/2021"),2,IF(AND(D15="On or before 9/30/2019",D16="On or after 10/1/2021"),3,IF(D15="On or after 10/1/2019",4))))</f>
        <v>0</v>
      </c>
      <c r="T9" s="290" t="s">
        <v>300</v>
      </c>
      <c r="U9">
        <v>1</v>
      </c>
      <c r="V9"/>
    </row>
    <row r="10" spans="1:22" s="4" customFormat="1" ht="24.75" customHeight="1" x14ac:dyDescent="0.2">
      <c r="A10" s="11"/>
      <c r="B10" s="13" t="s">
        <v>117</v>
      </c>
      <c r="C10" s="318"/>
      <c r="D10" s="318"/>
      <c r="E10" s="318"/>
      <c r="F10" s="13" t="s">
        <v>118</v>
      </c>
      <c r="G10" s="320"/>
      <c r="H10" s="320"/>
      <c r="I10" s="320"/>
      <c r="J10" s="320"/>
      <c r="K10" s="10"/>
      <c r="M10" s="6"/>
      <c r="N10"/>
      <c r="O10" s="5" t="s">
        <v>115</v>
      </c>
      <c r="P10" s="293" t="str">
        <f>IF($D$14 &lt;&gt; "B (Northeast)","",IF(AND($D$15="On or before 9/30/2019",$D$16="10/1/2019 - On or before 9/30/2020"),"",IF(AND($D$15="On or before 9/30/2019",$D$16="10/1/2020 - On or before 9/30/2021"),23,IF(AND($D$15="On or before 9/30/2019",$D$16="On or after 10/1/2021"),28,IF($D$15="On or after 10/1/2019",28,"")))))</f>
        <v/>
      </c>
      <c r="Q10"/>
      <c r="R10" s="290" t="s">
        <v>294</v>
      </c>
      <c r="S10" s="35"/>
      <c r="T10" s="290" t="s">
        <v>301</v>
      </c>
      <c r="U10">
        <v>2</v>
      </c>
    </row>
    <row r="11" spans="1:22" s="4" customFormat="1" ht="24.75" customHeight="1" x14ac:dyDescent="0.2">
      <c r="A11" s="11"/>
      <c r="B11" s="13" t="s">
        <v>183</v>
      </c>
      <c r="C11" s="317"/>
      <c r="D11" s="317"/>
      <c r="E11" s="317"/>
      <c r="F11" s="317"/>
      <c r="G11" s="26"/>
      <c r="H11" s="26"/>
      <c r="I11" s="26"/>
      <c r="J11" s="27"/>
      <c r="K11" s="10"/>
      <c r="M11" s="5"/>
      <c r="N11"/>
      <c r="O11" s="5" t="s">
        <v>113</v>
      </c>
      <c r="P11" s="293" t="str">
        <f>IF($D$14 &lt;&gt; "C (Southwest)","",IF(AND($D$15="On or before 9/30/2019",$D$16="10/1/2019 - On or before 9/30/2020"),"",IF(AND($D$15="On or before 9/30/2019",$D$16="10/1/2020 - On or before 9/30/2021"),24,IF(AND($D$15="On or before 9/30/2019",$D$16="On or after 10/1/2021"),29,IF($D$15="On or after 10/1/2019",29,"")))))</f>
        <v/>
      </c>
      <c r="Q11"/>
      <c r="S11" s="35"/>
      <c r="T11" s="290" t="s">
        <v>302</v>
      </c>
      <c r="U11">
        <v>3</v>
      </c>
      <c r="V11"/>
    </row>
    <row r="12" spans="1:22" ht="12" customHeight="1" x14ac:dyDescent="0.2">
      <c r="A12" s="11"/>
      <c r="B12" s="48"/>
      <c r="C12" s="30"/>
      <c r="D12" s="48"/>
      <c r="E12" s="48"/>
      <c r="F12" s="48"/>
      <c r="G12" s="316"/>
      <c r="H12" s="316"/>
      <c r="I12" s="316"/>
      <c r="J12" s="316"/>
      <c r="K12" s="10"/>
      <c r="O12" s="1" t="s">
        <v>114</v>
      </c>
      <c r="P12" s="293" t="str">
        <f>IF($D$14 &lt;&gt; "D (Southeast)","",IF(AND($D$15="On or before 9/30/2019",$D$16="10/1/2019 - On or before 9/30/2020"),"",IF(AND($D$15="On or before 9/30/2019",$D$16="10/1/2020 - On or before 9/30/2021"),25,IF(AND($D$15="On or before 9/30/2019",$D$16="On or after 10/1/2021"),30,IF($D$15="On or after 10/1/2019",30,"")))))</f>
        <v/>
      </c>
      <c r="S12" s="41"/>
      <c r="T12" s="290" t="s">
        <v>294</v>
      </c>
      <c r="U12">
        <v>4</v>
      </c>
    </row>
    <row r="13" spans="1:22" x14ac:dyDescent="0.2">
      <c r="A13" s="11"/>
      <c r="B13" s="303"/>
      <c r="C13" s="303"/>
      <c r="D13" s="304" t="s">
        <v>306</v>
      </c>
      <c r="E13" s="304"/>
      <c r="F13" s="304"/>
      <c r="G13" s="12"/>
      <c r="H13" s="12"/>
      <c r="I13" s="12"/>
      <c r="J13" s="22"/>
      <c r="K13" s="10"/>
      <c r="O13" s="5" t="s">
        <v>309</v>
      </c>
      <c r="P13" s="294" t="str">
        <f>IF($D$14 &lt;&gt; "E (Airport)","",IF(AND($D$15="On or before 9/30/2019",$D$16="10/1/2019 - On or before 9/30/2020"),"",IF(AND($D$15="On or before 9/30/2019",$D$16="10/1/2020 - On or before 9/30/2021"),26,IF(AND($D$15="On or before 9/30/2019",$D$16="On or after 10/1/2021"),26,IF($D$15="On or after 10/1/2019",26,"")))))</f>
        <v/>
      </c>
      <c r="R13" s="44"/>
      <c r="S13" s="41"/>
    </row>
    <row r="14" spans="1:22" s="4" customFormat="1" ht="18.75" customHeight="1" x14ac:dyDescent="0.2">
      <c r="A14" s="11"/>
      <c r="B14" s="12"/>
      <c r="C14" s="14" t="s">
        <v>138</v>
      </c>
      <c r="D14" s="300"/>
      <c r="E14" s="301"/>
      <c r="F14" s="302"/>
      <c r="G14" s="72" t="s">
        <v>308</v>
      </c>
      <c r="I14" s="73"/>
      <c r="J14" s="71"/>
      <c r="K14" s="10"/>
      <c r="N14"/>
      <c r="P14" s="293">
        <f>SUM(P9:P13)</f>
        <v>0</v>
      </c>
      <c r="Q14"/>
      <c r="R14" s="6"/>
      <c r="T14" s="290"/>
      <c r="U14"/>
    </row>
    <row r="15" spans="1:22" s="4" customFormat="1" ht="18.75" customHeight="1" x14ac:dyDescent="0.2">
      <c r="A15" s="11"/>
      <c r="B15" s="12"/>
      <c r="C15" s="14" t="s">
        <v>137</v>
      </c>
      <c r="D15" s="305"/>
      <c r="E15" s="306"/>
      <c r="F15" s="307"/>
      <c r="G15" s="12"/>
      <c r="H15" s="31"/>
      <c r="I15" s="30"/>
      <c r="J15" s="30"/>
      <c r="K15" s="10"/>
      <c r="N15"/>
      <c r="Q15"/>
      <c r="R15" s="290" t="s">
        <v>297</v>
      </c>
      <c r="T15" s="290"/>
      <c r="U15"/>
    </row>
    <row r="16" spans="1:22" s="4" customFormat="1" ht="18.75" customHeight="1" x14ac:dyDescent="0.2">
      <c r="A16" s="11"/>
      <c r="B16" s="12"/>
      <c r="C16" s="14" t="s">
        <v>295</v>
      </c>
      <c r="D16" s="305"/>
      <c r="E16" s="306"/>
      <c r="F16" s="307"/>
      <c r="G16" s="12"/>
      <c r="H16" s="31"/>
      <c r="I16" s="30"/>
      <c r="J16" s="30"/>
      <c r="K16" s="10"/>
      <c r="N16"/>
      <c r="Q16"/>
      <c r="R16" s="290" t="s">
        <v>298</v>
      </c>
      <c r="T16"/>
      <c r="U16"/>
    </row>
    <row r="17" spans="1:21" x14ac:dyDescent="0.2">
      <c r="A17" s="11"/>
      <c r="B17" s="12"/>
      <c r="C17" s="12"/>
      <c r="D17" s="12"/>
      <c r="E17" s="12"/>
      <c r="F17" s="12"/>
      <c r="G17" s="12"/>
      <c r="H17" s="30"/>
      <c r="I17" s="30"/>
      <c r="J17" s="30"/>
      <c r="K17" s="10"/>
      <c r="R17" s="290" t="s">
        <v>299</v>
      </c>
    </row>
    <row r="18" spans="1:21" ht="16.5" customHeight="1" x14ac:dyDescent="0.2">
      <c r="A18" s="11"/>
      <c r="B18" s="15" t="s">
        <v>123</v>
      </c>
      <c r="C18" s="12"/>
      <c r="D18" s="12"/>
      <c r="E18" s="12"/>
      <c r="F18" s="12"/>
      <c r="G18" s="12"/>
      <c r="H18" s="30"/>
      <c r="I18" s="73"/>
      <c r="J18" s="72"/>
      <c r="K18" s="10"/>
      <c r="M18" s="2">
        <v>1</v>
      </c>
      <c r="N18" s="41">
        <v>2</v>
      </c>
      <c r="O18" s="41">
        <v>3</v>
      </c>
      <c r="P18" s="41">
        <v>4</v>
      </c>
      <c r="T18" s="1"/>
    </row>
    <row r="19" spans="1:21" s="4" customFormat="1" ht="25.5" customHeight="1" x14ac:dyDescent="0.2">
      <c r="A19" s="11"/>
      <c r="B19" s="16" t="s">
        <v>119</v>
      </c>
      <c r="C19" s="16"/>
      <c r="D19" s="17" t="s">
        <v>120</v>
      </c>
      <c r="E19" s="17"/>
      <c r="F19" s="17" t="s">
        <v>121</v>
      </c>
      <c r="G19" s="12"/>
      <c r="H19" s="25" t="s">
        <v>134</v>
      </c>
      <c r="I19" s="25"/>
      <c r="J19" s="14" t="s">
        <v>124</v>
      </c>
      <c r="K19" s="10"/>
      <c r="M19" s="41"/>
      <c r="N19" s="41"/>
      <c r="O19" s="41"/>
      <c r="Q19"/>
      <c r="T19"/>
      <c r="U19"/>
    </row>
    <row r="20" spans="1:21" ht="16.5" customHeight="1" x14ac:dyDescent="0.2">
      <c r="A20" s="11"/>
      <c r="B20" s="68"/>
      <c r="C20" s="12"/>
      <c r="D20" s="12" t="str">
        <f>IF(B20="","",VLOOKUP(B20,'19-RW-Lookup'!$B$6:$G$86,6,FALSE))</f>
        <v/>
      </c>
      <c r="E20" s="12"/>
      <c r="F20" s="45"/>
      <c r="G20" s="12"/>
      <c r="H20" s="20" t="str">
        <f>IF(B20="","",IF($D$14="", "Enter Service Area",IF($S$9=1, "No Impact Fee Due", IF($S$9=2,VLOOKUP(B20,'19-RW-Lookup'!$B$7:$AE$87,Midland_Worksheet!$P$14,FALSE),IF($S$9=3,VLOOKUP(B20,'19-RW-Lookup'!$B$7:$AE$87,Midland_Worksheet!$P$14,FALSE),IF($S$9=4,VLOOKUP(B20,'19-RW-Lookup'!$B$7:$AE$87,Midland_Worksheet!$P$14,FALSE),"Enter Permit Info"))))))</f>
        <v/>
      </c>
      <c r="I20" s="299" t="str">
        <f>IF(B20="","",IF(D20="","",IF(F20="","",IF(H20="No Impact Fee Due","",IF(H20="Enter Permit Info","",IF(H20="Enter Service Area","",IF($D$14="","",ROUND(F20*H20,2))))))))</f>
        <v/>
      </c>
      <c r="J20" s="299"/>
      <c r="K20" s="10"/>
      <c r="R20" s="290" t="s">
        <v>311</v>
      </c>
    </row>
    <row r="21" spans="1:21" ht="16.5" customHeight="1" x14ac:dyDescent="0.2">
      <c r="A21" s="11"/>
      <c r="B21" s="68"/>
      <c r="C21" s="12"/>
      <c r="D21" s="12" t="str">
        <f>IF(B21="","",VLOOKUP(B21,'19-RW-Lookup'!$B$6:$G$86,6,FALSE))</f>
        <v/>
      </c>
      <c r="E21" s="12"/>
      <c r="F21" s="45"/>
      <c r="G21" s="12"/>
      <c r="H21" s="20" t="str">
        <f>IF(B21="","",IF($D$14="", "Enter Service Area",IF($S$9=1, "No Impact Fee Due", IF($S$9=2,VLOOKUP(B21,'19-RW-Lookup'!$B$7:$AE$87,Midland_Worksheet!$P$14,FALSE),IF($S$9=3,VLOOKUP(B21,'19-RW-Lookup'!$B$7:$AE$87,Midland_Worksheet!$P$14,FALSE),IF($S$9=4,VLOOKUP(B21,'19-RW-Lookup'!$B$7:$AE$87,Midland_Worksheet!$P$14,FALSE),"Enter Permit Info"))))))</f>
        <v/>
      </c>
      <c r="I21" s="299" t="str">
        <f>IF(B21="","",IF(D21="","",IF(F21="","",IF(H21="No Impact Fee Due","",IF(H21="Enter Permit Info","",IF(H21="Enter Service Area","",IF($D$14="","",ROUND(F21*H21,2))))))))</f>
        <v/>
      </c>
      <c r="J21" s="299"/>
      <c r="K21" s="10"/>
      <c r="R21" s="290" t="s">
        <v>312</v>
      </c>
    </row>
    <row r="22" spans="1:21" ht="16.5" customHeight="1" x14ac:dyDescent="0.2">
      <c r="A22" s="11"/>
      <c r="B22" s="68"/>
      <c r="C22" s="12"/>
      <c r="D22" s="12" t="str">
        <f>IF(B22="","",VLOOKUP(B22,'19-RW-Lookup'!$B$6:$G$86,6,FALSE))</f>
        <v/>
      </c>
      <c r="E22" s="12"/>
      <c r="F22" s="45"/>
      <c r="G22" s="12"/>
      <c r="H22" s="20" t="str">
        <f>IF(B22="","",IF($D$14="", "Enter Service Area",IF($S$9=1, "No Impact Fee Due", IF($S$9=2,VLOOKUP(B22,'19-RW-Lookup'!$B$7:$AE$87,Midland_Worksheet!$P$14,FALSE),IF($S$9=3,VLOOKUP(B22,'19-RW-Lookup'!$B$7:$AE$87,Midland_Worksheet!$P$14,FALSE),IF($S$9=4,VLOOKUP(B22,'19-RW-Lookup'!$B$7:$AE$87,Midland_Worksheet!$P$14,FALSE),"Enter Permit Info"))))))</f>
        <v/>
      </c>
      <c r="I22" s="299" t="str">
        <f>IF(B22="","",IF(D22="","",IF(F22="","",IF(H22="No Impact Fee Due","",IF(H22="Enter Permit Info","",IF(H22="Enter Service Area","",IF($D$14="","",ROUND(F22*H22,2))))))))</f>
        <v/>
      </c>
      <c r="J22" s="299"/>
      <c r="K22" s="10"/>
    </row>
    <row r="23" spans="1:21" ht="16.5" customHeight="1" x14ac:dyDescent="0.2">
      <c r="A23" s="11"/>
      <c r="B23" s="68"/>
      <c r="C23" s="12"/>
      <c r="D23" s="12" t="str">
        <f>IF(B23="","",VLOOKUP(B23,'19-RW-Lookup'!$B$6:$G$86,6,FALSE))</f>
        <v/>
      </c>
      <c r="E23" s="12"/>
      <c r="F23" s="45"/>
      <c r="G23" s="12"/>
      <c r="H23" s="20" t="str">
        <f>IF(B23="","",IF($D$14="", "Enter Service Area",IF($S$9=1, "No Impact Fee Due", IF($S$9=2,VLOOKUP(B23,'19-RW-Lookup'!$B$7:$AE$87,Midland_Worksheet!$P$14,FALSE),IF($S$9=3,VLOOKUP(B23,'19-RW-Lookup'!$B$7:$AE$87,Midland_Worksheet!$P$14,FALSE),IF($S$9=4,VLOOKUP(B23,'19-RW-Lookup'!$B$7:$AE$87,Midland_Worksheet!$P$14,FALSE),"Enter Permit Info"))))))</f>
        <v/>
      </c>
      <c r="I23" s="299" t="str">
        <f>IF(B23="","",IF(D23="","",IF(F23="","",IF(H23="No Impact Fee Due","",IF(H23="Enter Permit Info","",IF(H23="Enter Service Area","",IF($D$14="","",ROUND(F23*H23,2))))))))</f>
        <v/>
      </c>
      <c r="J23" s="299"/>
      <c r="K23" s="10"/>
      <c r="O23" s="292" t="s">
        <v>184</v>
      </c>
    </row>
    <row r="24" spans="1:21" ht="16.5" customHeight="1" x14ac:dyDescent="0.2">
      <c r="A24" s="11"/>
      <c r="B24" s="68"/>
      <c r="C24" s="12"/>
      <c r="D24" s="12" t="str">
        <f>IF(B24="","",VLOOKUP(B24,'19-RW-Lookup'!$B$6:$G$86,6,FALSE))</f>
        <v/>
      </c>
      <c r="E24" s="12"/>
      <c r="F24" s="45"/>
      <c r="G24" s="12"/>
      <c r="H24" s="20" t="str">
        <f>IF(B24="","",IF($D$14="", "Enter Service Area",IF($S$9=1, "No Impact Fee Due", IF($S$9=2,VLOOKUP(B24,'19-RW-Lookup'!$B$7:$AE$87,Midland_Worksheet!$P$14,FALSE),IF($S$9=3,VLOOKUP(B24,'19-RW-Lookup'!$B$7:$AE$87,Midland_Worksheet!$P$14,FALSE),IF($S$9=4,VLOOKUP(B24,'19-RW-Lookup'!$B$7:$AE$87,Midland_Worksheet!$P$14,FALSE),"Enter Permit Info"))))))</f>
        <v/>
      </c>
      <c r="I24" s="299" t="str">
        <f>IF(B24="","",IF(D24="","",IF(F24="","",IF(H24="No Impact Fee Due","",IF(H24="Enter Permit Info","",IF(H24="Enter Service Area","",IF($D$14="","",ROUND(F24*H24,2))))))))</f>
        <v/>
      </c>
      <c r="J24" s="299"/>
      <c r="K24" s="10"/>
    </row>
    <row r="25" spans="1:21" ht="12.75" customHeight="1" x14ac:dyDescent="0.2">
      <c r="A25" s="29"/>
      <c r="B25" s="33"/>
      <c r="C25" s="30"/>
      <c r="D25" s="30"/>
      <c r="E25" s="30"/>
      <c r="F25" s="34"/>
      <c r="G25" s="30"/>
      <c r="H25" s="31"/>
      <c r="I25" s="31"/>
      <c r="J25" s="31"/>
      <c r="K25" s="32"/>
      <c r="T25" s="1"/>
    </row>
    <row r="26" spans="1:21" ht="12.75" customHeight="1" x14ac:dyDescent="0.2">
      <c r="A26" s="29"/>
      <c r="B26" s="46"/>
      <c r="C26" s="30"/>
      <c r="D26" s="46"/>
      <c r="E26" s="30"/>
      <c r="F26" s="47"/>
      <c r="G26" s="48"/>
      <c r="H26" s="49"/>
      <c r="I26" s="13"/>
      <c r="J26" s="20"/>
      <c r="K26" s="32"/>
      <c r="T26" s="1"/>
    </row>
    <row r="27" spans="1:21" ht="24" customHeight="1" thickBot="1" x14ac:dyDescent="0.25">
      <c r="A27" s="50"/>
      <c r="B27" s="51"/>
      <c r="C27" s="51"/>
      <c r="D27" s="51"/>
      <c r="E27" s="51"/>
      <c r="F27" s="51"/>
      <c r="G27" s="52"/>
      <c r="H27" s="52"/>
      <c r="I27" s="52" t="s">
        <v>122</v>
      </c>
      <c r="J27" s="297">
        <f>SUM(I20:J24)</f>
        <v>0</v>
      </c>
      <c r="K27" s="53"/>
      <c r="M27" s="1"/>
    </row>
    <row r="28" spans="1:21" ht="12.75" customHeight="1" thickTop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0"/>
    </row>
    <row r="29" spans="1:21" ht="15.75" x14ac:dyDescent="0.2">
      <c r="A29" s="11"/>
      <c r="B29" s="15" t="s">
        <v>125</v>
      </c>
      <c r="C29" s="12"/>
      <c r="D29" s="12"/>
      <c r="E29" s="12"/>
      <c r="F29" s="12"/>
      <c r="G29" s="12"/>
      <c r="H29" s="12"/>
      <c r="I29" s="73"/>
      <c r="J29" s="291"/>
      <c r="K29" s="10"/>
      <c r="T29" s="1"/>
    </row>
    <row r="30" spans="1:21" ht="26.25" customHeight="1" x14ac:dyDescent="0.2">
      <c r="A30" s="11"/>
      <c r="B30" s="16" t="s">
        <v>128</v>
      </c>
      <c r="C30" s="16"/>
      <c r="D30" s="298" t="s">
        <v>296</v>
      </c>
      <c r="E30" s="17"/>
      <c r="F30" s="14" t="s">
        <v>126</v>
      </c>
      <c r="G30" s="12"/>
      <c r="H30" s="25" t="s">
        <v>135</v>
      </c>
      <c r="I30" s="25"/>
      <c r="J30" s="14" t="s">
        <v>127</v>
      </c>
      <c r="K30" s="10"/>
    </row>
    <row r="31" spans="1:21" ht="16.5" customHeight="1" x14ac:dyDescent="0.2">
      <c r="A31" s="11"/>
      <c r="B31" s="67"/>
      <c r="C31" s="12"/>
      <c r="D31" s="45"/>
      <c r="E31" s="12"/>
      <c r="F31" s="45"/>
      <c r="G31" s="12"/>
      <c r="H31" s="20" t="str">
        <f>IF(B31="","",IF($S$9=1,"No Impact Fee Due",IF(D31="","Single-Family?",IF(AND($S$9=2,D31="Yes"),"No Impact Fee Due",IF(AND($S$9=3,D31="yes"),VLOOKUP(B31,'19-Water_Lookup'!$A$5:$C$9,3,FALSE)*0.75,IF(AND($S$9=4,D31="Yes"),VLOOKUP(B31,'19-Water_Lookup'!$A$5:$C$9,3,FALSE)*0.75,IF($S$9=2,VLOOKUP(B31,'19-Water_Lookup'!$A$5:$C$9,3,FALSE),IF($S$9=3,VLOOKUP(B31,'19-Water_Lookup'!$A$5:$C$9,3,FALSE),IF($S$9=4,VLOOKUP(B31,'19-Water_Lookup'!$A$5:$C$9,3,FALSE),"Enter Permit Info")))))))))</f>
        <v/>
      </c>
      <c r="I31" s="20"/>
      <c r="J31" s="296" t="str">
        <f>IF(B31="","",IF(F31="","",IF(H31="No Impact Fee Due","",IF(H31="Enter Permit Info","",IF(H31="Single-Family?","",H31*F31)))))</f>
        <v/>
      </c>
      <c r="K31" s="10"/>
    </row>
    <row r="32" spans="1:21" ht="16.5" customHeight="1" x14ac:dyDescent="0.2">
      <c r="A32" s="11"/>
      <c r="B32" s="67"/>
      <c r="C32" s="12"/>
      <c r="D32" s="45"/>
      <c r="E32" s="12"/>
      <c r="F32" s="45"/>
      <c r="G32" s="12"/>
      <c r="H32" s="20" t="str">
        <f>IF(B32="","",IF($S$9=1,"No Impact Fee Due",IF(D32="","Single-Family?",IF(AND($S$9=2,D32="Yes"),"No Impact Fee Due",IF(AND($S$9=3,D32="yes"),VLOOKUP(B32,'19-Water_Lookup'!$A$5:$C$9,3,FALSE)*0.75,IF(AND($S$9=4,D32="Yes"),VLOOKUP(B32,'19-Water_Lookup'!$A$5:$C$9,3,FALSE)*0.75,IF($S$9=2,VLOOKUP(B32,'19-Water_Lookup'!$A$5:$C$9,3,FALSE),IF($S$9=3,VLOOKUP(B32,'19-Water_Lookup'!$A$5:$C$9,3,FALSE),IF($S$9=4,VLOOKUP(B32,'19-Water_Lookup'!$A$5:$C$9,3,FALSE),"Enter Permit Info")))))))))</f>
        <v/>
      </c>
      <c r="I32" s="20"/>
      <c r="J32" s="296" t="str">
        <f>IF(B32="","",IF(F32="","",IF(H32="No Impact Fee Due","",IF(H32="Enter Permit Info","",IF(H32="Single-Family?","",H32*F32)))))</f>
        <v/>
      </c>
      <c r="K32" s="10"/>
    </row>
    <row r="33" spans="1:20" ht="16.5" customHeight="1" x14ac:dyDescent="0.2">
      <c r="A33" s="11"/>
      <c r="B33" s="67"/>
      <c r="C33" s="12"/>
      <c r="D33" s="45"/>
      <c r="E33" s="12"/>
      <c r="F33" s="45"/>
      <c r="G33" s="12"/>
      <c r="H33" s="20" t="str">
        <f>IF(B33="","",IF($S$9=1,"No Impact Fee Due",IF(D33="","Single-Family?",IF(AND($S$9=2,D33="Yes"),"No Impact Fee Due",IF(AND($S$9=3,D33="yes"),VLOOKUP(B33,'19-Water_Lookup'!$A$5:$C$9,3,FALSE)*0.75,IF(AND($S$9=4,D33="Yes"),VLOOKUP(B33,'19-Water_Lookup'!$A$5:$C$9,3,FALSE)*0.75,IF($S$9=2,VLOOKUP(B33,'19-Water_Lookup'!$A$5:$C$9,3,FALSE),IF($S$9=3,VLOOKUP(B33,'19-Water_Lookup'!$A$5:$C$9,3,FALSE),IF($S$9=4,VLOOKUP(B33,'19-Water_Lookup'!$A$5:$C$9,3,FALSE),"Enter Permit Info")))))))))</f>
        <v/>
      </c>
      <c r="I33" s="20"/>
      <c r="J33" s="296" t="str">
        <f>IF(B33="","",IF(F33="","",IF(H33="No Impact Fee Due","",IF(H33="Enter Permit Info","",IF(H33="Single-Family?","",H33*F33)))))</f>
        <v/>
      </c>
      <c r="K33" s="10"/>
    </row>
    <row r="34" spans="1:20" ht="16.5" customHeight="1" x14ac:dyDescent="0.2">
      <c r="A34" s="11"/>
      <c r="B34" s="67"/>
      <c r="C34" s="12"/>
      <c r="D34" s="45"/>
      <c r="E34" s="12"/>
      <c r="F34" s="45"/>
      <c r="G34" s="12"/>
      <c r="H34" s="20" t="str">
        <f>IF(B34="","",IF($S$9=1,"No Impact Fee Due",IF(D34="","Single-Family?",IF(AND($S$9=2,D34="Yes"),"No Impact Fee Due",IF(AND($S$9=3,D34="yes"),VLOOKUP(B34,'19-Water_Lookup'!$A$5:$C$9,3,FALSE)*0.75,IF(AND($S$9=4,D34="Yes"),VLOOKUP(B34,'19-Water_Lookup'!$A$5:$C$9,3,FALSE)*0.75,IF($S$9=2,VLOOKUP(B34,'19-Water_Lookup'!$A$5:$C$9,3,FALSE),IF($S$9=3,VLOOKUP(B34,'19-Water_Lookup'!$A$5:$C$9,3,FALSE),IF($S$9=4,VLOOKUP(B34,'19-Water_Lookup'!$A$5:$C$9,3,FALSE),"Enter Permit Info")))))))))</f>
        <v/>
      </c>
      <c r="I34" s="20"/>
      <c r="J34" s="296" t="str">
        <f>IF(B34="","",IF(F34="","",IF(H34="No Impact Fee Due","",IF(H34="Enter Permit Info","",IF(H34="Single-Family?","",H34*F34)))))</f>
        <v/>
      </c>
      <c r="K34" s="10"/>
    </row>
    <row r="35" spans="1:20" ht="16.5" customHeight="1" x14ac:dyDescent="0.2">
      <c r="A35" s="11"/>
      <c r="B35" s="67"/>
      <c r="C35" s="12"/>
      <c r="D35" s="45"/>
      <c r="E35" s="12"/>
      <c r="F35" s="45"/>
      <c r="G35" s="12"/>
      <c r="H35" s="20" t="str">
        <f>IF(B35="","",IF($S$9=1,"No Impact Fee Due",IF(D35="","Single-Family?",IF(AND($S$9=2,D35="Yes"),"No Impact Fee Due",IF(AND($S$9=3,D35="yes"),VLOOKUP(B35,'19-Water_Lookup'!$A$5:$C$9,3,FALSE)*0.75,IF(AND($S$9=4,D35="Yes"),VLOOKUP(B35,'19-Water_Lookup'!$A$5:$C$9,3,FALSE)*0.75,IF($S$9=2,VLOOKUP(B35,'19-Water_Lookup'!$A$5:$C$9,3,FALSE),IF($S$9=3,VLOOKUP(B35,'19-Water_Lookup'!$A$5:$C$9,3,FALSE),IF($S$9=4,VLOOKUP(B35,'19-Water_Lookup'!$A$5:$C$9,3,FALSE),"Enter Permit Info")))))))))</f>
        <v/>
      </c>
      <c r="I35" s="20"/>
      <c r="J35" s="296" t="str">
        <f>IF(B35="","",IF(F35="","",IF(H35="No Impact Fee Due","",IF(H35="Enter Permit Info","",IF(H35="Single-Family?","",H35*F35)))))</f>
        <v/>
      </c>
      <c r="K35" s="10"/>
    </row>
    <row r="36" spans="1:20" ht="16.5" customHeight="1" x14ac:dyDescent="0.2">
      <c r="A36" s="11"/>
      <c r="B36" s="33"/>
      <c r="C36" s="30"/>
      <c r="D36" s="30"/>
      <c r="E36" s="30"/>
      <c r="F36" s="34"/>
      <c r="G36" s="30"/>
      <c r="H36" s="31"/>
      <c r="I36" s="20"/>
      <c r="J36" s="20"/>
      <c r="K36" s="10"/>
    </row>
    <row r="37" spans="1:20" ht="12.75" customHeight="1" x14ac:dyDescent="0.2">
      <c r="A37" s="11"/>
      <c r="B37" s="60"/>
      <c r="C37" s="30"/>
      <c r="D37" s="61"/>
      <c r="E37" s="30"/>
      <c r="F37" s="47"/>
      <c r="G37" s="48"/>
      <c r="H37" s="62"/>
      <c r="I37" s="20"/>
      <c r="J37" s="58"/>
      <c r="K37" s="69"/>
    </row>
    <row r="38" spans="1:20" ht="24" customHeight="1" thickBot="1" x14ac:dyDescent="0.25">
      <c r="A38" s="50"/>
      <c r="B38" s="51"/>
      <c r="C38" s="51"/>
      <c r="D38" s="51"/>
      <c r="E38" s="51"/>
      <c r="F38" s="51"/>
      <c r="G38" s="52"/>
      <c r="H38" s="52"/>
      <c r="I38" s="52" t="s">
        <v>129</v>
      </c>
      <c r="J38" s="59">
        <f>ROUND(SUM(J31:J35),0)</f>
        <v>0</v>
      </c>
      <c r="K38" s="53"/>
      <c r="M38" s="1"/>
    </row>
    <row r="39" spans="1:20" ht="19.5" customHeight="1" thickTop="1" x14ac:dyDescent="0.2">
      <c r="A39" s="11"/>
      <c r="B39" s="15" t="s">
        <v>130</v>
      </c>
      <c r="C39" s="12"/>
      <c r="D39" s="12"/>
      <c r="E39" s="12"/>
      <c r="F39" s="12"/>
      <c r="G39" s="12"/>
      <c r="H39" s="12"/>
      <c r="I39" s="12"/>
      <c r="J39" s="12"/>
      <c r="K39" s="10"/>
      <c r="T39" s="1"/>
    </row>
    <row r="40" spans="1:20" x14ac:dyDescent="0.2">
      <c r="A40" s="11"/>
      <c r="B40" s="56" t="s">
        <v>136</v>
      </c>
      <c r="C40" s="56"/>
      <c r="D40" s="56"/>
      <c r="E40" s="56"/>
      <c r="F40" s="56"/>
      <c r="G40" s="56"/>
      <c r="H40" s="56"/>
      <c r="I40" s="73"/>
      <c r="J40" s="291"/>
      <c r="K40" s="10"/>
    </row>
    <row r="41" spans="1:20" ht="26.25" customHeight="1" x14ac:dyDescent="0.2">
      <c r="A41" s="11"/>
      <c r="B41" s="16" t="s">
        <v>128</v>
      </c>
      <c r="C41" s="16"/>
      <c r="D41" s="298" t="s">
        <v>296</v>
      </c>
      <c r="E41" s="17"/>
      <c r="F41" s="14" t="s">
        <v>126</v>
      </c>
      <c r="G41" s="12"/>
      <c r="H41" s="25" t="s">
        <v>135</v>
      </c>
      <c r="I41" s="25"/>
      <c r="J41" s="14" t="s">
        <v>131</v>
      </c>
      <c r="K41" s="10"/>
    </row>
    <row r="42" spans="1:20" ht="16.5" customHeight="1" x14ac:dyDescent="0.2">
      <c r="A42" s="11"/>
      <c r="B42" s="67"/>
      <c r="C42" s="12"/>
      <c r="D42" s="45"/>
      <c r="E42" s="12"/>
      <c r="F42" s="45"/>
      <c r="G42" s="12"/>
      <c r="H42" s="20" t="str">
        <f>IF(B42="","",IF($S$9=1,"No Impact Fee Due",IF(D42="","Single-Family?",IF(AND($S$9=2,D42="Yes"),"No Impact Fee Due",IF(AND($S$9=3,D42="yes"),VLOOKUP(B42,'19-WW_Lookup'!$A$5:$C$9,3,FALSE)*0.75,IF(AND($S$9=4,D42="Yes"),VLOOKUP(B42,'19-WW_Lookup'!$A$5:$C$9,3,FALSE)*0.75,IF($S$9=2,VLOOKUP(B42,'19-WW_Lookup'!$A$5:$C$9,3,FALSE),IF($S$9=3,VLOOKUP(B42,'19-WW_Lookup'!$A$5:$C$9,3,FALSE),IF($S$9=4,VLOOKUP(B42,'19-WW_Lookup'!$A$5:$C$9,3,FALSE),"Enter Permit Info")))))))))</f>
        <v/>
      </c>
      <c r="I42" s="20"/>
      <c r="J42" s="296" t="str">
        <f>IF(B42="","",IF(F42="","",IF(H42="No Impact Fee Due","",IF(H42="Enter Permit Info","",IF(H42="Single-Family?","",H42*F42)))))</f>
        <v/>
      </c>
      <c r="K42" s="18"/>
    </row>
    <row r="43" spans="1:20" ht="16.5" customHeight="1" x14ac:dyDescent="0.2">
      <c r="A43" s="11"/>
      <c r="B43" s="67"/>
      <c r="C43" s="12"/>
      <c r="D43" s="45"/>
      <c r="E43" s="12"/>
      <c r="F43" s="45"/>
      <c r="G43" s="12"/>
      <c r="H43" s="20" t="str">
        <f>IF(B43="","",IF($S$9=1,"No Impact Fee Due",IF(D43="","Single-Family?",IF(AND($S$9=2,D43="Yes"),"No Impact Fee Due",IF(AND($S$9=3,D43="yes"),VLOOKUP(B43,'19-WW_Lookup'!$A$5:$C$9,3,FALSE)*0.75,IF(AND($S$9=4,D43="Yes"),VLOOKUP(B43,'19-WW_Lookup'!$A$5:$C$9,3,FALSE)*0.75,IF($S$9=2,VLOOKUP(B43,'19-WW_Lookup'!$A$5:$C$9,3,FALSE),IF($S$9=3,VLOOKUP(B43,'19-WW_Lookup'!$A$5:$C$9,3,FALSE),IF($S$9=4,VLOOKUP(B43,'19-WW_Lookup'!$A$5:$C$9,3,FALSE),"Enter Permit Info")))))))))</f>
        <v/>
      </c>
      <c r="I43" s="20"/>
      <c r="J43" s="296" t="str">
        <f>IF(B43="","",IF(F43="","",IF(H43="Invalid Meter","",IF(H43="No Impact Fee Due","",IF(H43="Enter Permit Info","",H43*F43)))))</f>
        <v/>
      </c>
      <c r="K43" s="18"/>
    </row>
    <row r="44" spans="1:20" ht="16.5" customHeight="1" x14ac:dyDescent="0.2">
      <c r="A44" s="11"/>
      <c r="B44" s="67"/>
      <c r="C44" s="12"/>
      <c r="D44" s="45"/>
      <c r="E44" s="12"/>
      <c r="F44" s="45"/>
      <c r="G44" s="12"/>
      <c r="H44" s="20" t="str">
        <f>IF(B44="","",IF($S$9=1,"No Impact Fee Due",IF(D44="","Single-Family?",IF(AND($S$9=2,D44="Yes"),"No Impact Fee Due",IF(AND($S$9=3,D44="yes"),VLOOKUP(B44,'19-WW_Lookup'!$A$5:$C$9,3,FALSE)*0.75,IF(AND($S$9=4,D44="Yes"),VLOOKUP(B44,'19-WW_Lookup'!$A$5:$C$9,3,FALSE)*0.75,IF($S$9=2,VLOOKUP(B44,'19-WW_Lookup'!$A$5:$C$9,3,FALSE),IF($S$9=3,VLOOKUP(B44,'19-WW_Lookup'!$A$5:$C$9,3,FALSE),IF($S$9=4,VLOOKUP(B44,'19-WW_Lookup'!$A$5:$C$9,3,FALSE),"Enter Permit Info")))))))))</f>
        <v/>
      </c>
      <c r="I44" s="20"/>
      <c r="J44" s="296" t="str">
        <f>IF(B44="","",IF(F44="","",IF(H44="Invalid Meter","",IF(H44="No Impact Fee Due","",IF(H44="Enter Permit Info","",H44*F44)))))</f>
        <v/>
      </c>
      <c r="K44" s="18"/>
      <c r="M44" s="1"/>
    </row>
    <row r="45" spans="1:20" ht="16.5" customHeight="1" x14ac:dyDescent="0.2">
      <c r="A45" s="11"/>
      <c r="B45" s="67"/>
      <c r="C45" s="12"/>
      <c r="D45" s="45"/>
      <c r="E45" s="12"/>
      <c r="F45" s="45"/>
      <c r="G45" s="12"/>
      <c r="H45" s="20" t="str">
        <f>IF(B45="","",IF($S$9=1,"No Impact Fee Due",IF(D45="","Single-Family?",IF(AND($S$9=2,D45="Yes"),"No Impact Fee Due",IF(AND($S$9=3,D45="yes"),VLOOKUP(B45,'19-WW_Lookup'!$A$5:$C$9,3,FALSE)*0.75,IF(AND($S$9=4,D45="Yes"),VLOOKUP(B45,'19-WW_Lookup'!$A$5:$C$9,3,FALSE)*0.75,IF($S$9=2,VLOOKUP(B45,'19-WW_Lookup'!$A$5:$C$9,3,FALSE),IF($S$9=3,VLOOKUP(B45,'19-WW_Lookup'!$A$5:$C$9,3,FALSE),IF($S$9=4,VLOOKUP(B45,'19-WW_Lookup'!$A$5:$C$9,3,FALSE),"Enter Permit Info")))))))))</f>
        <v/>
      </c>
      <c r="I45" s="20"/>
      <c r="J45" s="296" t="str">
        <f>IF(B45="","",IF(F45="","",IF(H45="Invalid Meter","",IF(H45="No Impact Fee Due","",IF(H45="Enter Permit Info","",H45*F45)))))</f>
        <v/>
      </c>
      <c r="K45" s="18"/>
      <c r="M45" s="1"/>
    </row>
    <row r="46" spans="1:20" ht="16.5" customHeight="1" x14ac:dyDescent="0.2">
      <c r="A46" s="11"/>
      <c r="B46" s="67"/>
      <c r="C46" s="12"/>
      <c r="D46" s="45"/>
      <c r="E46" s="12"/>
      <c r="F46" s="45"/>
      <c r="G46" s="12"/>
      <c r="H46" s="20" t="str">
        <f>IF(B46="","",IF($S$9=1,"No Impact Fee Due",IF(D46="","Single-Family?",IF(AND($S$9=2,D46="Yes"),"No Impact Fee Due",IF(AND($S$9=3,D46="yes"),VLOOKUP(B46,'19-WW_Lookup'!$A$5:$C$9,3,FALSE)*0.75,IF(AND($S$9=4,D46="Yes"),VLOOKUP(B46,'19-WW_Lookup'!$A$5:$C$9,3,FALSE)*0.75,IF($S$9=2,VLOOKUP(B46,'19-WW_Lookup'!$A$5:$C$9,3,FALSE),IF($S$9=3,VLOOKUP(B46,'19-WW_Lookup'!$A$5:$C$9,3,FALSE),IF($S$9=4,VLOOKUP(B46,'19-WW_Lookup'!$A$5:$C$9,3,FALSE),"Enter Permit Info")))))))))</f>
        <v/>
      </c>
      <c r="I46" s="20"/>
      <c r="J46" s="296" t="str">
        <f>IF(B46="","",IF(F46="","",IF(H46="Invalid Meter","",IF(H46="No Impact Fee Due","",IF(H46="Enter Permit Info","",H46*F46)))))</f>
        <v/>
      </c>
      <c r="K46" s="18"/>
    </row>
    <row r="47" spans="1:20" ht="16.5" customHeight="1" x14ac:dyDescent="0.2">
      <c r="A47" s="11"/>
      <c r="B47" s="33"/>
      <c r="C47" s="30"/>
      <c r="D47" s="30"/>
      <c r="E47" s="30"/>
      <c r="F47" s="34"/>
      <c r="G47" s="30"/>
      <c r="H47" s="31"/>
      <c r="I47" s="12"/>
      <c r="J47" s="20"/>
      <c r="K47" s="10"/>
    </row>
    <row r="48" spans="1:20" ht="24" customHeight="1" x14ac:dyDescent="0.2">
      <c r="A48" s="11"/>
      <c r="B48" s="12"/>
      <c r="C48" s="12"/>
      <c r="D48" s="12"/>
      <c r="E48" s="12"/>
      <c r="F48" s="12"/>
      <c r="G48" s="13"/>
      <c r="H48" s="13"/>
      <c r="I48" s="13" t="s">
        <v>132</v>
      </c>
      <c r="J48" s="63">
        <f>ROUND(SUM(J42:J46),0)</f>
        <v>0</v>
      </c>
      <c r="K48" s="18"/>
      <c r="T48" s="1"/>
    </row>
    <row r="49" spans="1:20" ht="24" customHeight="1" x14ac:dyDescent="0.2">
      <c r="A49" s="11"/>
      <c r="B49" s="65"/>
      <c r="C49" s="12"/>
      <c r="D49" s="64"/>
      <c r="E49" s="12"/>
      <c r="F49" s="12"/>
      <c r="G49" s="21"/>
      <c r="H49" s="21"/>
      <c r="I49" s="21" t="s">
        <v>133</v>
      </c>
      <c r="J49" s="66">
        <f>J27+J38+J48</f>
        <v>0</v>
      </c>
      <c r="K49" s="18"/>
      <c r="M49" s="1"/>
    </row>
    <row r="50" spans="1:20" ht="12.75" customHeight="1" x14ac:dyDescent="0.2">
      <c r="A50" s="23"/>
      <c r="B50" s="311" t="s">
        <v>313</v>
      </c>
      <c r="C50" s="311"/>
      <c r="D50" s="311"/>
      <c r="E50" s="311"/>
      <c r="F50" s="311"/>
      <c r="G50" s="311"/>
      <c r="H50" s="311"/>
      <c r="I50" s="311"/>
      <c r="J50" s="311"/>
      <c r="K50" s="18"/>
    </row>
    <row r="51" spans="1:20" ht="24" customHeight="1" thickBot="1" x14ac:dyDescent="0.25">
      <c r="A51" s="24"/>
      <c r="B51" s="312"/>
      <c r="C51" s="312"/>
      <c r="D51" s="312"/>
      <c r="E51" s="312"/>
      <c r="F51" s="312"/>
      <c r="G51" s="312"/>
      <c r="H51" s="312"/>
      <c r="I51" s="312"/>
      <c r="J51" s="312"/>
      <c r="K51" s="19"/>
      <c r="T51" s="1"/>
    </row>
    <row r="52" spans="1:20" ht="12.75" customHeight="1" thickTop="1" x14ac:dyDescent="0.2">
      <c r="T52" s="1"/>
    </row>
    <row r="53" spans="1:20" ht="24" customHeight="1" x14ac:dyDescent="0.2"/>
    <row r="55" spans="1:20" ht="24.75" customHeight="1" x14ac:dyDescent="0.2"/>
    <row r="59" spans="1:20" x14ac:dyDescent="0.2">
      <c r="M59" s="1"/>
    </row>
    <row r="62" spans="1:20" x14ac:dyDescent="0.2">
      <c r="T62" s="1"/>
    </row>
    <row r="64" spans="1:20" x14ac:dyDescent="0.2">
      <c r="M64" s="1"/>
    </row>
    <row r="68" spans="13:20" x14ac:dyDescent="0.2">
      <c r="T68" s="1"/>
    </row>
    <row r="73" spans="13:20" x14ac:dyDescent="0.2">
      <c r="M73" s="1"/>
    </row>
    <row r="77" spans="13:20" x14ac:dyDescent="0.2">
      <c r="T77" s="3"/>
    </row>
    <row r="79" spans="13:20" x14ac:dyDescent="0.2">
      <c r="T79" s="1"/>
    </row>
  </sheetData>
  <sheetProtection algorithmName="SHA-512" hashValue="89FtMi5mQmQHvAUVqKOKN05Qi8/mb+iovJP0ij5+FxFCh0nG3zBsT/Ks3aavkwAwAXmUPgCM3XedSNChd2E4TA==" saltValue="Dx0Tvok+IZwBPbI2rnefyQ==" spinCount="100000" sheet="1" selectLockedCells="1"/>
  <mergeCells count="23">
    <mergeCell ref="A2:K2"/>
    <mergeCell ref="I20:J20"/>
    <mergeCell ref="B50:J51"/>
    <mergeCell ref="H4:K4"/>
    <mergeCell ref="B6:B7"/>
    <mergeCell ref="G12:J12"/>
    <mergeCell ref="C11:F11"/>
    <mergeCell ref="C10:E10"/>
    <mergeCell ref="C4:F4"/>
    <mergeCell ref="I24:J24"/>
    <mergeCell ref="C8:J8"/>
    <mergeCell ref="G10:J10"/>
    <mergeCell ref="C7:J7"/>
    <mergeCell ref="C9:J9"/>
    <mergeCell ref="I23:J23"/>
    <mergeCell ref="C6:J6"/>
    <mergeCell ref="I21:J21"/>
    <mergeCell ref="I22:J22"/>
    <mergeCell ref="D14:F14"/>
    <mergeCell ref="B13:C13"/>
    <mergeCell ref="D13:F13"/>
    <mergeCell ref="D15:F15"/>
    <mergeCell ref="D16:F16"/>
  </mergeCells>
  <phoneticPr fontId="2" type="noConversion"/>
  <conditionalFormatting sqref="J37">
    <cfRule type="cellIs" dxfId="65" priority="233" stopIfTrue="1" operator="notEqual">
      <formula>"Waived Per Agreement"</formula>
    </cfRule>
    <cfRule type="cellIs" dxfId="64" priority="234" stopIfTrue="1" operator="equal">
      <formula>"Waived Per Agreement"</formula>
    </cfRule>
  </conditionalFormatting>
  <conditionalFormatting sqref="B4">
    <cfRule type="cellIs" dxfId="63" priority="213" stopIfTrue="1" operator="equal">
      <formula>"**ESTIMATE ONLY**"</formula>
    </cfRule>
    <cfRule type="cellIs" dxfId="62" priority="214" stopIfTrue="1" operator="equal">
      <formula>"**ESTIMATE$3:$3 ONLY"""</formula>
    </cfRule>
  </conditionalFormatting>
  <conditionalFormatting sqref="C4:F4">
    <cfRule type="cellIs" dxfId="61" priority="212" stopIfTrue="1" operator="equal">
      <formula>"**ESTIMATE ONLY**"</formula>
    </cfRule>
  </conditionalFormatting>
  <conditionalFormatting sqref="H4:K4">
    <cfRule type="cellIs" dxfId="60" priority="207" operator="equal">
      <formula>"**ESTIMATE ONLY**"</formula>
    </cfRule>
  </conditionalFormatting>
  <conditionalFormatting sqref="D20">
    <cfRule type="cellIs" dxfId="59" priority="182" operator="equal">
      <formula>0</formula>
    </cfRule>
  </conditionalFormatting>
  <conditionalFormatting sqref="D21">
    <cfRule type="cellIs" dxfId="58" priority="181" operator="equal">
      <formula>0</formula>
    </cfRule>
  </conditionalFormatting>
  <conditionalFormatting sqref="D22">
    <cfRule type="cellIs" dxfId="57" priority="180" operator="equal">
      <formula>0</formula>
    </cfRule>
  </conditionalFormatting>
  <conditionalFormatting sqref="D23">
    <cfRule type="cellIs" dxfId="56" priority="179" operator="equal">
      <formula>0</formula>
    </cfRule>
  </conditionalFormatting>
  <conditionalFormatting sqref="D24">
    <cfRule type="cellIs" dxfId="55" priority="178" operator="equal">
      <formula>0</formula>
    </cfRule>
  </conditionalFormatting>
  <conditionalFormatting sqref="I20">
    <cfRule type="cellIs" dxfId="54" priority="176" stopIfTrue="1" operator="notEqual">
      <formula>"Waived Per Agreement"</formula>
    </cfRule>
    <cfRule type="cellIs" dxfId="53" priority="177" stopIfTrue="1" operator="equal">
      <formula>"Waived Per Agreement"</formula>
    </cfRule>
  </conditionalFormatting>
  <conditionalFormatting sqref="H20:H24">
    <cfRule type="cellIs" dxfId="52" priority="153" operator="equal">
      <formula>"No Impact Fee Due"</formula>
    </cfRule>
  </conditionalFormatting>
  <conditionalFormatting sqref="H31">
    <cfRule type="cellIs" dxfId="51" priority="142" operator="equal">
      <formula>"Enter Permit Info"</formula>
    </cfRule>
    <cfRule type="cellIs" dxfId="50" priority="152" operator="equal">
      <formula>"No Impact Fee Due"</formula>
    </cfRule>
    <cfRule type="cellIs" dxfId="49" priority="55" operator="equal">
      <formula>"Single-Family?"</formula>
    </cfRule>
  </conditionalFormatting>
  <conditionalFormatting sqref="H20">
    <cfRule type="cellIs" dxfId="48" priority="147" operator="equal">
      <formula>"Enter Permit Info"</formula>
    </cfRule>
    <cfRule type="cellIs" dxfId="47" priority="17" operator="equal">
      <formula>"Enter Service Area"</formula>
    </cfRule>
  </conditionalFormatting>
  <conditionalFormatting sqref="H21">
    <cfRule type="cellIs" dxfId="46" priority="146" operator="equal">
      <formula>"Enter Permit Info"</formula>
    </cfRule>
  </conditionalFormatting>
  <conditionalFormatting sqref="H22">
    <cfRule type="cellIs" dxfId="45" priority="145" operator="equal">
      <formula>"Enter Permit Info"</formula>
    </cfRule>
  </conditionalFormatting>
  <conditionalFormatting sqref="H23">
    <cfRule type="cellIs" dxfId="44" priority="144" operator="equal">
      <formula>"Enter Permit Info"</formula>
    </cfRule>
  </conditionalFormatting>
  <conditionalFormatting sqref="H24">
    <cfRule type="cellIs" dxfId="43" priority="143" operator="equal">
      <formula>"Enter Permit Info"</formula>
    </cfRule>
  </conditionalFormatting>
  <conditionalFormatting sqref="H32">
    <cfRule type="cellIs" dxfId="42" priority="52" operator="equal">
      <formula>"Single-Family?"</formula>
    </cfRule>
    <cfRule type="cellIs" dxfId="41" priority="53" operator="equal">
      <formula>"Enter Permit Info"</formula>
    </cfRule>
    <cfRule type="cellIs" dxfId="40" priority="54" operator="equal">
      <formula>"No Impact Fee Due"</formula>
    </cfRule>
  </conditionalFormatting>
  <conditionalFormatting sqref="H33">
    <cfRule type="cellIs" dxfId="39" priority="49" operator="equal">
      <formula>"Single-Family?"</formula>
    </cfRule>
    <cfRule type="cellIs" dxfId="38" priority="50" operator="equal">
      <formula>"Enter Permit Info"</formula>
    </cfRule>
    <cfRule type="cellIs" dxfId="37" priority="51" operator="equal">
      <formula>"No Impact Fee Due"</formula>
    </cfRule>
  </conditionalFormatting>
  <conditionalFormatting sqref="H34">
    <cfRule type="cellIs" dxfId="36" priority="46" operator="equal">
      <formula>"Single-Family?"</formula>
    </cfRule>
    <cfRule type="cellIs" dxfId="35" priority="47" operator="equal">
      <formula>"Enter Permit Info"</formula>
    </cfRule>
    <cfRule type="cellIs" dxfId="34" priority="48" operator="equal">
      <formula>"No Impact Fee Due"</formula>
    </cfRule>
  </conditionalFormatting>
  <conditionalFormatting sqref="H35">
    <cfRule type="cellIs" dxfId="33" priority="43" operator="equal">
      <formula>"Single-Family?"</formula>
    </cfRule>
    <cfRule type="cellIs" dxfId="32" priority="44" operator="equal">
      <formula>"Enter Permit Info"</formula>
    </cfRule>
    <cfRule type="cellIs" dxfId="31" priority="45" operator="equal">
      <formula>"No Impact Fee Due"</formula>
    </cfRule>
  </conditionalFormatting>
  <conditionalFormatting sqref="H42">
    <cfRule type="cellIs" dxfId="30" priority="40" operator="equal">
      <formula>"Single-Family?"</formula>
    </cfRule>
    <cfRule type="cellIs" dxfId="29" priority="41" operator="equal">
      <formula>"Enter Permit Info"</formula>
    </cfRule>
    <cfRule type="cellIs" dxfId="28" priority="42" operator="equal">
      <formula>"No Impact Fee Due"</formula>
    </cfRule>
  </conditionalFormatting>
  <conditionalFormatting sqref="H43">
    <cfRule type="cellIs" dxfId="27" priority="37" operator="equal">
      <formula>"Single-Family?"</formula>
    </cfRule>
    <cfRule type="cellIs" dxfId="26" priority="38" operator="equal">
      <formula>"Enter Permit Info"</formula>
    </cfRule>
    <cfRule type="cellIs" dxfId="25" priority="39" operator="equal">
      <formula>"No Impact Fee Due"</formula>
    </cfRule>
  </conditionalFormatting>
  <conditionalFormatting sqref="H44">
    <cfRule type="cellIs" dxfId="24" priority="34" operator="equal">
      <formula>"Single-Family?"</formula>
    </cfRule>
    <cfRule type="cellIs" dxfId="23" priority="35" operator="equal">
      <formula>"Enter Permit Info"</formula>
    </cfRule>
    <cfRule type="cellIs" dxfId="22" priority="36" operator="equal">
      <formula>"No Impact Fee Due"</formula>
    </cfRule>
  </conditionalFormatting>
  <conditionalFormatting sqref="H45">
    <cfRule type="cellIs" dxfId="21" priority="31" operator="equal">
      <formula>"Single-Family?"</formula>
    </cfRule>
    <cfRule type="cellIs" dxfId="20" priority="32" operator="equal">
      <formula>"Enter Permit Info"</formula>
    </cfRule>
    <cfRule type="cellIs" dxfId="19" priority="33" operator="equal">
      <formula>"No Impact Fee Due"</formula>
    </cfRule>
  </conditionalFormatting>
  <conditionalFormatting sqref="H46">
    <cfRule type="cellIs" dxfId="18" priority="28" operator="equal">
      <formula>"Single-Family?"</formula>
    </cfRule>
    <cfRule type="cellIs" dxfId="17" priority="29" operator="equal">
      <formula>"Enter Permit Info"</formula>
    </cfRule>
    <cfRule type="cellIs" dxfId="16" priority="30" operator="equal">
      <formula>"No Impact Fee Due"</formula>
    </cfRule>
  </conditionalFormatting>
  <conditionalFormatting sqref="H21">
    <cfRule type="cellIs" dxfId="15" priority="15" operator="equal">
      <formula>"Enter Service Area"</formula>
    </cfRule>
    <cfRule type="cellIs" dxfId="14" priority="16" operator="equal">
      <formula>"Enter Permit Info"</formula>
    </cfRule>
  </conditionalFormatting>
  <conditionalFormatting sqref="H22">
    <cfRule type="cellIs" dxfId="13" priority="13" operator="equal">
      <formula>"Enter Service Area"</formula>
    </cfRule>
    <cfRule type="cellIs" dxfId="12" priority="14" operator="equal">
      <formula>"Enter Permit Info"</formula>
    </cfRule>
  </conditionalFormatting>
  <conditionalFormatting sqref="H23">
    <cfRule type="cellIs" dxfId="11" priority="11" operator="equal">
      <formula>"Enter Service Area"</formula>
    </cfRule>
    <cfRule type="cellIs" dxfId="10" priority="12" operator="equal">
      <formula>"Enter Permit Info"</formula>
    </cfRule>
  </conditionalFormatting>
  <conditionalFormatting sqref="H24">
    <cfRule type="cellIs" dxfId="9" priority="9" operator="equal">
      <formula>"Enter Service Area"</formula>
    </cfRule>
    <cfRule type="cellIs" dxfId="8" priority="10" operator="equal">
      <formula>"Enter Permit Info"</formula>
    </cfRule>
  </conditionalFormatting>
  <conditionalFormatting sqref="I21">
    <cfRule type="cellIs" dxfId="7" priority="7" stopIfTrue="1" operator="notEqual">
      <formula>"Waived Per Agreement"</formula>
    </cfRule>
    <cfRule type="cellIs" dxfId="6" priority="8" stopIfTrue="1" operator="equal">
      <formula>"Waived Per Agreement"</formula>
    </cfRule>
  </conditionalFormatting>
  <conditionalFormatting sqref="I22">
    <cfRule type="cellIs" dxfId="5" priority="5" stopIfTrue="1" operator="notEqual">
      <formula>"Waived Per Agreement"</formula>
    </cfRule>
    <cfRule type="cellIs" dxfId="4" priority="6" stopIfTrue="1" operator="equal">
      <formula>"Waived Per Agreement"</formula>
    </cfRule>
  </conditionalFormatting>
  <conditionalFormatting sqref="I23">
    <cfRule type="cellIs" dxfId="3" priority="3" stopIfTrue="1" operator="notEqual">
      <formula>"Waived Per Agreement"</formula>
    </cfRule>
    <cfRule type="cellIs" dxfId="2" priority="4" stopIfTrue="1" operator="equal">
      <formula>"Waived Per Agreement"</formula>
    </cfRule>
  </conditionalFormatting>
  <conditionalFormatting sqref="I24">
    <cfRule type="cellIs" dxfId="1" priority="1" stopIfTrue="1" operator="notEqual">
      <formula>"Waived Per Agreement"</formula>
    </cfRule>
    <cfRule type="cellIs" dxfId="0" priority="2" stopIfTrue="1" operator="equal">
      <formula>"Waived Per Agreement"</formula>
    </cfRule>
  </conditionalFormatting>
  <dataValidations xWindow="310" yWindow="615" count="7">
    <dataValidation type="list" allowBlank="1" showInputMessage="1" showErrorMessage="1" sqref="D37" xr:uid="{00000000-0002-0000-0000-000000000000}">
      <formula1>$R$12:$R$14</formula1>
    </dataValidation>
    <dataValidation type="list" allowBlank="1" showInputMessage="1" showErrorMessage="1" errorTitle="Invalid Land Use" prompt="Do Not Select from the general categories listed in ALL CAPS.  Please select from the lower case land uses only.  _x000a_" sqref="B20:B24" xr:uid="{00000000-0002-0000-0000-000001000000}">
      <formula1>LU_Name</formula1>
    </dataValidation>
    <dataValidation type="list" allowBlank="1" showInputMessage="1" showErrorMessage="1" errorTitle="Invalid date range" sqref="D15" xr:uid="{00000000-0002-0000-0000-000002000000}">
      <formula1>$R$8:$R$10</formula1>
    </dataValidation>
    <dataValidation type="list" allowBlank="1" showInputMessage="1" showErrorMessage="1" errorTitle="Invalid date range" sqref="D16" xr:uid="{00000000-0002-0000-0000-000003000000}">
      <formula1>$R$14:$R$17</formula1>
    </dataValidation>
    <dataValidation type="list" allowBlank="1" showInputMessage="1" showErrorMessage="1" promptTitle="Meter Types" sqref="B31:B35" xr:uid="{00000000-0002-0000-0000-000004000000}">
      <formula1>List2019water</formula1>
    </dataValidation>
    <dataValidation type="list" allowBlank="1" showInputMessage="1" showErrorMessage="1" sqref="D31:D35 D42:D46" xr:uid="{00000000-0002-0000-0000-000005000000}">
      <formula1>R$19:R$21</formula1>
    </dataValidation>
    <dataValidation type="list" allowBlank="1" showInputMessage="1" showErrorMessage="1" sqref="D14:F14" xr:uid="{00000000-0002-0000-0000-000006000000}">
      <formula1>$O$8:$O$13</formula1>
    </dataValidation>
  </dataValidations>
  <printOptions horizontalCentered="1"/>
  <pageMargins left="0.75" right="0.75" top="0.75" bottom="0.75" header="0.5" footer="0.5"/>
  <pageSetup paperSize="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310" yWindow="615" count="1">
        <x14:dataValidation type="list" allowBlank="1" showInputMessage="1" showErrorMessage="1" promptTitle="Meter Types" xr:uid="{00000000-0002-0000-0000-000007000000}">
          <x14:formula1>
            <xm:f>'19-WW_Lookup'!$A$4:$A$9</xm:f>
          </x14:formula1>
          <xm:sqref>B42:B46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0"/>
  <sheetViews>
    <sheetView workbookViewId="0">
      <selection activeCell="P26" sqref="P26"/>
    </sheetView>
  </sheetViews>
  <sheetFormatPr defaultRowHeight="12.75" x14ac:dyDescent="0.2"/>
  <cols>
    <col min="1" max="3" width="24.5703125" customWidth="1"/>
  </cols>
  <sheetData>
    <row r="2" spans="1:3" ht="13.5" thickBot="1" x14ac:dyDescent="0.25"/>
    <row r="3" spans="1:3" ht="49.5" customHeight="1" thickTop="1" thickBot="1" x14ac:dyDescent="0.25">
      <c r="A3" s="36" t="s">
        <v>181</v>
      </c>
      <c r="B3" s="37" t="s">
        <v>193</v>
      </c>
      <c r="C3" s="37" t="s">
        <v>194</v>
      </c>
    </row>
    <row r="4" spans="1:3" ht="49.5" customHeight="1" thickTop="1" thickBot="1" x14ac:dyDescent="0.25">
      <c r="A4" s="54"/>
      <c r="B4" s="55"/>
      <c r="C4" s="55"/>
    </row>
    <row r="5" spans="1:3" ht="14.25" thickTop="1" thickBot="1" x14ac:dyDescent="0.25">
      <c r="A5" s="38" t="s">
        <v>188</v>
      </c>
      <c r="B5" s="80">
        <v>1678.82</v>
      </c>
      <c r="C5" s="81">
        <v>838.41</v>
      </c>
    </row>
    <row r="6" spans="1:3" ht="13.5" thickBot="1" x14ac:dyDescent="0.25">
      <c r="A6" s="39" t="s">
        <v>189</v>
      </c>
      <c r="B6" s="82">
        <v>6707.27</v>
      </c>
      <c r="C6" s="83">
        <v>3353.63</v>
      </c>
    </row>
    <row r="7" spans="1:3" ht="13.5" thickBot="1" x14ac:dyDescent="0.25">
      <c r="A7" s="39" t="s">
        <v>190</v>
      </c>
      <c r="B7" s="82">
        <v>15091.35</v>
      </c>
      <c r="C7" s="83">
        <v>7545.67</v>
      </c>
    </row>
    <row r="8" spans="1:3" ht="13.5" thickBot="1" x14ac:dyDescent="0.25">
      <c r="A8" s="39" t="s">
        <v>191</v>
      </c>
      <c r="B8" s="82">
        <v>33536.33</v>
      </c>
      <c r="C8" s="83">
        <v>16768.16</v>
      </c>
    </row>
    <row r="9" spans="1:3" ht="13.5" thickBot="1" x14ac:dyDescent="0.25">
      <c r="A9" s="40" t="s">
        <v>192</v>
      </c>
      <c r="B9" s="84">
        <v>67072.66</v>
      </c>
      <c r="C9" s="85">
        <v>33536.33</v>
      </c>
    </row>
    <row r="10" spans="1:3" ht="13.5" thickTop="1" x14ac:dyDescent="0.2">
      <c r="A10" s="322"/>
      <c r="B10" s="322"/>
      <c r="C10" s="322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0"/>
  <sheetViews>
    <sheetView workbookViewId="0">
      <selection activeCell="P26" sqref="P26"/>
    </sheetView>
  </sheetViews>
  <sheetFormatPr defaultRowHeight="12.75" x14ac:dyDescent="0.2"/>
  <cols>
    <col min="1" max="3" width="24.5703125" customWidth="1"/>
  </cols>
  <sheetData>
    <row r="2" spans="1:3" ht="13.5" thickBot="1" x14ac:dyDescent="0.25"/>
    <row r="3" spans="1:3" ht="49.5" customHeight="1" thickTop="1" thickBot="1" x14ac:dyDescent="0.25">
      <c r="A3" s="36" t="s">
        <v>181</v>
      </c>
      <c r="B3" s="37" t="s">
        <v>195</v>
      </c>
      <c r="C3" s="37" t="s">
        <v>196</v>
      </c>
    </row>
    <row r="4" spans="1:3" ht="49.5" customHeight="1" thickTop="1" thickBot="1" x14ac:dyDescent="0.25">
      <c r="A4" s="54"/>
      <c r="B4" s="55"/>
      <c r="C4" s="55"/>
    </row>
    <row r="5" spans="1:3" ht="14.25" thickTop="1" thickBot="1" x14ac:dyDescent="0.25">
      <c r="A5" s="38" t="s">
        <v>188</v>
      </c>
      <c r="B5" s="74">
        <v>3312.24</v>
      </c>
      <c r="C5" s="75">
        <v>1656.12</v>
      </c>
    </row>
    <row r="6" spans="1:3" ht="13.5" thickBot="1" x14ac:dyDescent="0.25">
      <c r="A6" s="39" t="s">
        <v>189</v>
      </c>
      <c r="B6" s="76">
        <v>13248.97</v>
      </c>
      <c r="C6" s="77">
        <v>6624.48</v>
      </c>
    </row>
    <row r="7" spans="1:3" ht="13.5" thickBot="1" x14ac:dyDescent="0.25">
      <c r="A7" s="39" t="s">
        <v>190</v>
      </c>
      <c r="B7" s="76">
        <v>29810.18</v>
      </c>
      <c r="C7" s="77">
        <v>14905.09</v>
      </c>
    </row>
    <row r="8" spans="1:3" ht="13.5" thickBot="1" x14ac:dyDescent="0.25">
      <c r="A8" s="39" t="s">
        <v>191</v>
      </c>
      <c r="B8" s="76">
        <v>66244.850000000006</v>
      </c>
      <c r="C8" s="77">
        <v>33122.42</v>
      </c>
    </row>
    <row r="9" spans="1:3" ht="13.5" thickBot="1" x14ac:dyDescent="0.25">
      <c r="A9" s="40" t="s">
        <v>192</v>
      </c>
      <c r="B9" s="78">
        <v>132489.70000000001</v>
      </c>
      <c r="C9" s="79">
        <v>66224.850000000006</v>
      </c>
    </row>
    <row r="10" spans="1:3" ht="13.5" thickTop="1" x14ac:dyDescent="0.2">
      <c r="A10" s="322" t="s">
        <v>182</v>
      </c>
      <c r="B10" s="322"/>
      <c r="C10" s="322"/>
    </row>
  </sheetData>
  <mergeCells count="1"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K91"/>
  <sheetViews>
    <sheetView view="pageBreakPreview" topLeftCell="I1" zoomScaleNormal="70" zoomScaleSheetLayoutView="100" workbookViewId="0">
      <selection activeCell="P26" sqref="P26"/>
    </sheetView>
  </sheetViews>
  <sheetFormatPr defaultRowHeight="12.75" x14ac:dyDescent="0.2"/>
  <cols>
    <col min="1" max="1" width="3.7109375" style="95" customWidth="1"/>
    <col min="2" max="3" width="1.140625" style="95" customWidth="1"/>
    <col min="4" max="4" width="43.7109375" style="95" customWidth="1"/>
    <col min="5" max="5" width="6.140625" style="281" customWidth="1"/>
    <col min="6" max="6" width="95.42578125" style="95" customWidth="1"/>
    <col min="7" max="7" width="19.85546875" style="282" customWidth="1"/>
    <col min="8" max="8" width="7.85546875" style="283" customWidth="1"/>
    <col min="9" max="9" width="5.85546875" style="284" customWidth="1"/>
    <col min="10" max="10" width="7.85546875" style="282" customWidth="1"/>
    <col min="11" max="11" width="8" style="283" customWidth="1"/>
    <col min="12" max="12" width="8.7109375" style="91" customWidth="1"/>
    <col min="13" max="13" width="6.140625" style="92" customWidth="1"/>
    <col min="14" max="14" width="9.7109375" style="91" customWidth="1"/>
    <col min="15" max="15" width="8.7109375" style="93" customWidth="1"/>
    <col min="16" max="16" width="9.28515625" style="282" customWidth="1"/>
    <col min="17" max="17" width="3.7109375" style="282" customWidth="1"/>
    <col min="18" max="21" width="15.7109375" style="95" customWidth="1"/>
    <col min="22" max="22" width="3.7109375" style="95" customWidth="1"/>
    <col min="23" max="26" width="15.7109375" style="95" customWidth="1"/>
    <col min="27" max="27" width="16.85546875" style="95" bestFit="1" customWidth="1"/>
    <col min="28" max="31" width="15.7109375" style="95" customWidth="1"/>
    <col min="32" max="207" width="9.140625" style="95"/>
    <col min="208" max="209" width="1.140625" style="95" customWidth="1"/>
    <col min="210" max="210" width="36.28515625" style="95" customWidth="1"/>
    <col min="211" max="211" width="9" style="95" customWidth="1"/>
    <col min="212" max="212" width="9.140625" style="95" customWidth="1"/>
    <col min="213" max="213" width="19.85546875" style="95" customWidth="1"/>
    <col min="214" max="214" width="7.85546875" style="95" customWidth="1"/>
    <col min="215" max="215" width="5.85546875" style="95" customWidth="1"/>
    <col min="216" max="216" width="7.140625" style="95" customWidth="1"/>
    <col min="217" max="217" width="8" style="95" customWidth="1"/>
    <col min="218" max="218" width="9.140625" style="95"/>
    <col min="219" max="219" width="6.140625" style="95" customWidth="1"/>
    <col min="220" max="222" width="8.140625" style="95" customWidth="1"/>
    <col min="223" max="223" width="9.140625" style="95"/>
    <col min="224" max="227" width="10.5703125" style="95" customWidth="1"/>
    <col min="228" max="231" width="10.85546875" style="95" customWidth="1"/>
    <col min="232" max="463" width="9.140625" style="95"/>
    <col min="464" max="465" width="1.140625" style="95" customWidth="1"/>
    <col min="466" max="466" width="36.28515625" style="95" customWidth="1"/>
    <col min="467" max="467" width="9" style="95" customWidth="1"/>
    <col min="468" max="468" width="9.140625" style="95" customWidth="1"/>
    <col min="469" max="469" width="19.85546875" style="95" customWidth="1"/>
    <col min="470" max="470" width="7.85546875" style="95" customWidth="1"/>
    <col min="471" max="471" width="5.85546875" style="95" customWidth="1"/>
    <col min="472" max="472" width="7.140625" style="95" customWidth="1"/>
    <col min="473" max="473" width="8" style="95" customWidth="1"/>
    <col min="474" max="474" width="9.140625" style="95"/>
    <col min="475" max="475" width="6.140625" style="95" customWidth="1"/>
    <col min="476" max="478" width="8.140625" style="95" customWidth="1"/>
    <col min="479" max="479" width="9.140625" style="95"/>
    <col min="480" max="483" width="10.5703125" style="95" customWidth="1"/>
    <col min="484" max="487" width="10.85546875" style="95" customWidth="1"/>
    <col min="488" max="719" width="9.140625" style="95"/>
    <col min="720" max="721" width="1.140625" style="95" customWidth="1"/>
    <col min="722" max="722" width="36.28515625" style="95" customWidth="1"/>
    <col min="723" max="723" width="9" style="95" customWidth="1"/>
    <col min="724" max="724" width="9.140625" style="95" customWidth="1"/>
    <col min="725" max="725" width="19.85546875" style="95" customWidth="1"/>
    <col min="726" max="726" width="7.85546875" style="95" customWidth="1"/>
    <col min="727" max="727" width="5.85546875" style="95" customWidth="1"/>
    <col min="728" max="728" width="7.140625" style="95" customWidth="1"/>
    <col min="729" max="729" width="8" style="95" customWidth="1"/>
    <col min="730" max="730" width="9.140625" style="95"/>
    <col min="731" max="731" width="6.140625" style="95" customWidth="1"/>
    <col min="732" max="734" width="8.140625" style="95" customWidth="1"/>
    <col min="735" max="735" width="9.140625" style="95"/>
    <col min="736" max="739" width="10.5703125" style="95" customWidth="1"/>
    <col min="740" max="743" width="10.85546875" style="95" customWidth="1"/>
    <col min="744" max="975" width="9.140625" style="95"/>
    <col min="976" max="977" width="1.140625" style="95" customWidth="1"/>
    <col min="978" max="978" width="36.28515625" style="95" customWidth="1"/>
    <col min="979" max="979" width="9" style="95" customWidth="1"/>
    <col min="980" max="980" width="9.140625" style="95" customWidth="1"/>
    <col min="981" max="981" width="19.85546875" style="95" customWidth="1"/>
    <col min="982" max="982" width="7.85546875" style="95" customWidth="1"/>
    <col min="983" max="983" width="5.85546875" style="95" customWidth="1"/>
    <col min="984" max="984" width="7.140625" style="95" customWidth="1"/>
    <col min="985" max="985" width="8" style="95" customWidth="1"/>
    <col min="986" max="986" width="9.140625" style="95"/>
    <col min="987" max="987" width="6.140625" style="95" customWidth="1"/>
    <col min="988" max="990" width="8.140625" style="95" customWidth="1"/>
    <col min="991" max="991" width="9.140625" style="95"/>
    <col min="992" max="995" width="10.5703125" style="95" customWidth="1"/>
    <col min="996" max="999" width="10.85546875" style="95" customWidth="1"/>
    <col min="1000" max="1231" width="9.140625" style="95"/>
    <col min="1232" max="1233" width="1.140625" style="95" customWidth="1"/>
    <col min="1234" max="1234" width="36.28515625" style="95" customWidth="1"/>
    <col min="1235" max="1235" width="9" style="95" customWidth="1"/>
    <col min="1236" max="1236" width="9.140625" style="95" customWidth="1"/>
    <col min="1237" max="1237" width="19.85546875" style="95" customWidth="1"/>
    <col min="1238" max="1238" width="7.85546875" style="95" customWidth="1"/>
    <col min="1239" max="1239" width="5.85546875" style="95" customWidth="1"/>
    <col min="1240" max="1240" width="7.140625" style="95" customWidth="1"/>
    <col min="1241" max="1241" width="8" style="95" customWidth="1"/>
    <col min="1242" max="1242" width="9.140625" style="95"/>
    <col min="1243" max="1243" width="6.140625" style="95" customWidth="1"/>
    <col min="1244" max="1246" width="8.140625" style="95" customWidth="1"/>
    <col min="1247" max="1247" width="9.140625" style="95"/>
    <col min="1248" max="1251" width="10.5703125" style="95" customWidth="1"/>
    <col min="1252" max="1255" width="10.85546875" style="95" customWidth="1"/>
    <col min="1256" max="1487" width="9.140625" style="95"/>
    <col min="1488" max="1489" width="1.140625" style="95" customWidth="1"/>
    <col min="1490" max="1490" width="36.28515625" style="95" customWidth="1"/>
    <col min="1491" max="1491" width="9" style="95" customWidth="1"/>
    <col min="1492" max="1492" width="9.140625" style="95" customWidth="1"/>
    <col min="1493" max="1493" width="19.85546875" style="95" customWidth="1"/>
    <col min="1494" max="1494" width="7.85546875" style="95" customWidth="1"/>
    <col min="1495" max="1495" width="5.85546875" style="95" customWidth="1"/>
    <col min="1496" max="1496" width="7.140625" style="95" customWidth="1"/>
    <col min="1497" max="1497" width="8" style="95" customWidth="1"/>
    <col min="1498" max="1498" width="9.140625" style="95"/>
    <col min="1499" max="1499" width="6.140625" style="95" customWidth="1"/>
    <col min="1500" max="1502" width="8.140625" style="95" customWidth="1"/>
    <col min="1503" max="1503" width="9.140625" style="95"/>
    <col min="1504" max="1507" width="10.5703125" style="95" customWidth="1"/>
    <col min="1508" max="1511" width="10.85546875" style="95" customWidth="1"/>
    <col min="1512" max="1743" width="9.140625" style="95"/>
    <col min="1744" max="1745" width="1.140625" style="95" customWidth="1"/>
    <col min="1746" max="1746" width="36.28515625" style="95" customWidth="1"/>
    <col min="1747" max="1747" width="9" style="95" customWidth="1"/>
    <col min="1748" max="1748" width="9.140625" style="95" customWidth="1"/>
    <col min="1749" max="1749" width="19.85546875" style="95" customWidth="1"/>
    <col min="1750" max="1750" width="7.85546875" style="95" customWidth="1"/>
    <col min="1751" max="1751" width="5.85546875" style="95" customWidth="1"/>
    <col min="1752" max="1752" width="7.140625" style="95" customWidth="1"/>
    <col min="1753" max="1753" width="8" style="95" customWidth="1"/>
    <col min="1754" max="1754" width="9.140625" style="95"/>
    <col min="1755" max="1755" width="6.140625" style="95" customWidth="1"/>
    <col min="1756" max="1758" width="8.140625" style="95" customWidth="1"/>
    <col min="1759" max="1759" width="9.140625" style="95"/>
    <col min="1760" max="1763" width="10.5703125" style="95" customWidth="1"/>
    <col min="1764" max="1767" width="10.85546875" style="95" customWidth="1"/>
    <col min="1768" max="1999" width="9.140625" style="95"/>
    <col min="2000" max="2001" width="1.140625" style="95" customWidth="1"/>
    <col min="2002" max="2002" width="36.28515625" style="95" customWidth="1"/>
    <col min="2003" max="2003" width="9" style="95" customWidth="1"/>
    <col min="2004" max="2004" width="9.140625" style="95" customWidth="1"/>
    <col min="2005" max="2005" width="19.85546875" style="95" customWidth="1"/>
    <col min="2006" max="2006" width="7.85546875" style="95" customWidth="1"/>
    <col min="2007" max="2007" width="5.85546875" style="95" customWidth="1"/>
    <col min="2008" max="2008" width="7.140625" style="95" customWidth="1"/>
    <col min="2009" max="2009" width="8" style="95" customWidth="1"/>
    <col min="2010" max="2010" width="9.140625" style="95"/>
    <col min="2011" max="2011" width="6.140625" style="95" customWidth="1"/>
    <col min="2012" max="2014" width="8.140625" style="95" customWidth="1"/>
    <col min="2015" max="2015" width="9.140625" style="95"/>
    <col min="2016" max="2019" width="10.5703125" style="95" customWidth="1"/>
    <col min="2020" max="2023" width="10.85546875" style="95" customWidth="1"/>
    <col min="2024" max="2255" width="9.140625" style="95"/>
    <col min="2256" max="2257" width="1.140625" style="95" customWidth="1"/>
    <col min="2258" max="2258" width="36.28515625" style="95" customWidth="1"/>
    <col min="2259" max="2259" width="9" style="95" customWidth="1"/>
    <col min="2260" max="2260" width="9.140625" style="95" customWidth="1"/>
    <col min="2261" max="2261" width="19.85546875" style="95" customWidth="1"/>
    <col min="2262" max="2262" width="7.85546875" style="95" customWidth="1"/>
    <col min="2263" max="2263" width="5.85546875" style="95" customWidth="1"/>
    <col min="2264" max="2264" width="7.140625" style="95" customWidth="1"/>
    <col min="2265" max="2265" width="8" style="95" customWidth="1"/>
    <col min="2266" max="2266" width="9.140625" style="95"/>
    <col min="2267" max="2267" width="6.140625" style="95" customWidth="1"/>
    <col min="2268" max="2270" width="8.140625" style="95" customWidth="1"/>
    <col min="2271" max="2271" width="9.140625" style="95"/>
    <col min="2272" max="2275" width="10.5703125" style="95" customWidth="1"/>
    <col min="2276" max="2279" width="10.85546875" style="95" customWidth="1"/>
    <col min="2280" max="2511" width="9.140625" style="95"/>
    <col min="2512" max="2513" width="1.140625" style="95" customWidth="1"/>
    <col min="2514" max="2514" width="36.28515625" style="95" customWidth="1"/>
    <col min="2515" max="2515" width="9" style="95" customWidth="1"/>
    <col min="2516" max="2516" width="9.140625" style="95" customWidth="1"/>
    <col min="2517" max="2517" width="19.85546875" style="95" customWidth="1"/>
    <col min="2518" max="2518" width="7.85546875" style="95" customWidth="1"/>
    <col min="2519" max="2519" width="5.85546875" style="95" customWidth="1"/>
    <col min="2520" max="2520" width="7.140625" style="95" customWidth="1"/>
    <col min="2521" max="2521" width="8" style="95" customWidth="1"/>
    <col min="2522" max="2522" width="9.140625" style="95"/>
    <col min="2523" max="2523" width="6.140625" style="95" customWidth="1"/>
    <col min="2524" max="2526" width="8.140625" style="95" customWidth="1"/>
    <col min="2527" max="2527" width="9.140625" style="95"/>
    <col min="2528" max="2531" width="10.5703125" style="95" customWidth="1"/>
    <col min="2532" max="2535" width="10.85546875" style="95" customWidth="1"/>
    <col min="2536" max="2767" width="9.140625" style="95"/>
    <col min="2768" max="2769" width="1.140625" style="95" customWidth="1"/>
    <col min="2770" max="2770" width="36.28515625" style="95" customWidth="1"/>
    <col min="2771" max="2771" width="9" style="95" customWidth="1"/>
    <col min="2772" max="2772" width="9.140625" style="95" customWidth="1"/>
    <col min="2773" max="2773" width="19.85546875" style="95" customWidth="1"/>
    <col min="2774" max="2774" width="7.85546875" style="95" customWidth="1"/>
    <col min="2775" max="2775" width="5.85546875" style="95" customWidth="1"/>
    <col min="2776" max="2776" width="7.140625" style="95" customWidth="1"/>
    <col min="2777" max="2777" width="8" style="95" customWidth="1"/>
    <col min="2778" max="2778" width="9.140625" style="95"/>
    <col min="2779" max="2779" width="6.140625" style="95" customWidth="1"/>
    <col min="2780" max="2782" width="8.140625" style="95" customWidth="1"/>
    <col min="2783" max="2783" width="9.140625" style="95"/>
    <col min="2784" max="2787" width="10.5703125" style="95" customWidth="1"/>
    <col min="2788" max="2791" width="10.85546875" style="95" customWidth="1"/>
    <col min="2792" max="3023" width="9.140625" style="95"/>
    <col min="3024" max="3025" width="1.140625" style="95" customWidth="1"/>
    <col min="3026" max="3026" width="36.28515625" style="95" customWidth="1"/>
    <col min="3027" max="3027" width="9" style="95" customWidth="1"/>
    <col min="3028" max="3028" width="9.140625" style="95" customWidth="1"/>
    <col min="3029" max="3029" width="19.85546875" style="95" customWidth="1"/>
    <col min="3030" max="3030" width="7.85546875" style="95" customWidth="1"/>
    <col min="3031" max="3031" width="5.85546875" style="95" customWidth="1"/>
    <col min="3032" max="3032" width="7.140625" style="95" customWidth="1"/>
    <col min="3033" max="3033" width="8" style="95" customWidth="1"/>
    <col min="3034" max="3034" width="9.140625" style="95"/>
    <col min="3035" max="3035" width="6.140625" style="95" customWidth="1"/>
    <col min="3036" max="3038" width="8.140625" style="95" customWidth="1"/>
    <col min="3039" max="3039" width="9.140625" style="95"/>
    <col min="3040" max="3043" width="10.5703125" style="95" customWidth="1"/>
    <col min="3044" max="3047" width="10.85546875" style="95" customWidth="1"/>
    <col min="3048" max="3279" width="9.140625" style="95"/>
    <col min="3280" max="3281" width="1.140625" style="95" customWidth="1"/>
    <col min="3282" max="3282" width="36.28515625" style="95" customWidth="1"/>
    <col min="3283" max="3283" width="9" style="95" customWidth="1"/>
    <col min="3284" max="3284" width="9.140625" style="95" customWidth="1"/>
    <col min="3285" max="3285" width="19.85546875" style="95" customWidth="1"/>
    <col min="3286" max="3286" width="7.85546875" style="95" customWidth="1"/>
    <col min="3287" max="3287" width="5.85546875" style="95" customWidth="1"/>
    <col min="3288" max="3288" width="7.140625" style="95" customWidth="1"/>
    <col min="3289" max="3289" width="8" style="95" customWidth="1"/>
    <col min="3290" max="3290" width="9.140625" style="95"/>
    <col min="3291" max="3291" width="6.140625" style="95" customWidth="1"/>
    <col min="3292" max="3294" width="8.140625" style="95" customWidth="1"/>
    <col min="3295" max="3295" width="9.140625" style="95"/>
    <col min="3296" max="3299" width="10.5703125" style="95" customWidth="1"/>
    <col min="3300" max="3303" width="10.85546875" style="95" customWidth="1"/>
    <col min="3304" max="3535" width="9.140625" style="95"/>
    <col min="3536" max="3537" width="1.140625" style="95" customWidth="1"/>
    <col min="3538" max="3538" width="36.28515625" style="95" customWidth="1"/>
    <col min="3539" max="3539" width="9" style="95" customWidth="1"/>
    <col min="3540" max="3540" width="9.140625" style="95" customWidth="1"/>
    <col min="3541" max="3541" width="19.85546875" style="95" customWidth="1"/>
    <col min="3542" max="3542" width="7.85546875" style="95" customWidth="1"/>
    <col min="3543" max="3543" width="5.85546875" style="95" customWidth="1"/>
    <col min="3544" max="3544" width="7.140625" style="95" customWidth="1"/>
    <col min="3545" max="3545" width="8" style="95" customWidth="1"/>
    <col min="3546" max="3546" width="9.140625" style="95"/>
    <col min="3547" max="3547" width="6.140625" style="95" customWidth="1"/>
    <col min="3548" max="3550" width="8.140625" style="95" customWidth="1"/>
    <col min="3551" max="3551" width="9.140625" style="95"/>
    <col min="3552" max="3555" width="10.5703125" style="95" customWidth="1"/>
    <col min="3556" max="3559" width="10.85546875" style="95" customWidth="1"/>
    <col min="3560" max="3791" width="9.140625" style="95"/>
    <col min="3792" max="3793" width="1.140625" style="95" customWidth="1"/>
    <col min="3794" max="3794" width="36.28515625" style="95" customWidth="1"/>
    <col min="3795" max="3795" width="9" style="95" customWidth="1"/>
    <col min="3796" max="3796" width="9.140625" style="95" customWidth="1"/>
    <col min="3797" max="3797" width="19.85546875" style="95" customWidth="1"/>
    <col min="3798" max="3798" width="7.85546875" style="95" customWidth="1"/>
    <col min="3799" max="3799" width="5.85546875" style="95" customWidth="1"/>
    <col min="3800" max="3800" width="7.140625" style="95" customWidth="1"/>
    <col min="3801" max="3801" width="8" style="95" customWidth="1"/>
    <col min="3802" max="3802" width="9.140625" style="95"/>
    <col min="3803" max="3803" width="6.140625" style="95" customWidth="1"/>
    <col min="3804" max="3806" width="8.140625" style="95" customWidth="1"/>
    <col min="3807" max="3807" width="9.140625" style="95"/>
    <col min="3808" max="3811" width="10.5703125" style="95" customWidth="1"/>
    <col min="3812" max="3815" width="10.85546875" style="95" customWidth="1"/>
    <col min="3816" max="4047" width="9.140625" style="95"/>
    <col min="4048" max="4049" width="1.140625" style="95" customWidth="1"/>
    <col min="4050" max="4050" width="36.28515625" style="95" customWidth="1"/>
    <col min="4051" max="4051" width="9" style="95" customWidth="1"/>
    <col min="4052" max="4052" width="9.140625" style="95" customWidth="1"/>
    <col min="4053" max="4053" width="19.85546875" style="95" customWidth="1"/>
    <col min="4054" max="4054" width="7.85546875" style="95" customWidth="1"/>
    <col min="4055" max="4055" width="5.85546875" style="95" customWidth="1"/>
    <col min="4056" max="4056" width="7.140625" style="95" customWidth="1"/>
    <col min="4057" max="4057" width="8" style="95" customWidth="1"/>
    <col min="4058" max="4058" width="9.140625" style="95"/>
    <col min="4059" max="4059" width="6.140625" style="95" customWidth="1"/>
    <col min="4060" max="4062" width="8.140625" style="95" customWidth="1"/>
    <col min="4063" max="4063" width="9.140625" style="95"/>
    <col min="4064" max="4067" width="10.5703125" style="95" customWidth="1"/>
    <col min="4068" max="4071" width="10.85546875" style="95" customWidth="1"/>
    <col min="4072" max="4303" width="9.140625" style="95"/>
    <col min="4304" max="4305" width="1.140625" style="95" customWidth="1"/>
    <col min="4306" max="4306" width="36.28515625" style="95" customWidth="1"/>
    <col min="4307" max="4307" width="9" style="95" customWidth="1"/>
    <col min="4308" max="4308" width="9.140625" style="95" customWidth="1"/>
    <col min="4309" max="4309" width="19.85546875" style="95" customWidth="1"/>
    <col min="4310" max="4310" width="7.85546875" style="95" customWidth="1"/>
    <col min="4311" max="4311" width="5.85546875" style="95" customWidth="1"/>
    <col min="4312" max="4312" width="7.140625" style="95" customWidth="1"/>
    <col min="4313" max="4313" width="8" style="95" customWidth="1"/>
    <col min="4314" max="4314" width="9.140625" style="95"/>
    <col min="4315" max="4315" width="6.140625" style="95" customWidth="1"/>
    <col min="4316" max="4318" width="8.140625" style="95" customWidth="1"/>
    <col min="4319" max="4319" width="9.140625" style="95"/>
    <col min="4320" max="4323" width="10.5703125" style="95" customWidth="1"/>
    <col min="4324" max="4327" width="10.85546875" style="95" customWidth="1"/>
    <col min="4328" max="4559" width="9.140625" style="95"/>
    <col min="4560" max="4561" width="1.140625" style="95" customWidth="1"/>
    <col min="4562" max="4562" width="36.28515625" style="95" customWidth="1"/>
    <col min="4563" max="4563" width="9" style="95" customWidth="1"/>
    <col min="4564" max="4564" width="9.140625" style="95" customWidth="1"/>
    <col min="4565" max="4565" width="19.85546875" style="95" customWidth="1"/>
    <col min="4566" max="4566" width="7.85546875" style="95" customWidth="1"/>
    <col min="4567" max="4567" width="5.85546875" style="95" customWidth="1"/>
    <col min="4568" max="4568" width="7.140625" style="95" customWidth="1"/>
    <col min="4569" max="4569" width="8" style="95" customWidth="1"/>
    <col min="4570" max="4570" width="9.140625" style="95"/>
    <col min="4571" max="4571" width="6.140625" style="95" customWidth="1"/>
    <col min="4572" max="4574" width="8.140625" style="95" customWidth="1"/>
    <col min="4575" max="4575" width="9.140625" style="95"/>
    <col min="4576" max="4579" width="10.5703125" style="95" customWidth="1"/>
    <col min="4580" max="4583" width="10.85546875" style="95" customWidth="1"/>
    <col min="4584" max="4815" width="9.140625" style="95"/>
    <col min="4816" max="4817" width="1.140625" style="95" customWidth="1"/>
    <col min="4818" max="4818" width="36.28515625" style="95" customWidth="1"/>
    <col min="4819" max="4819" width="9" style="95" customWidth="1"/>
    <col min="4820" max="4820" width="9.140625" style="95" customWidth="1"/>
    <col min="4821" max="4821" width="19.85546875" style="95" customWidth="1"/>
    <col min="4822" max="4822" width="7.85546875" style="95" customWidth="1"/>
    <col min="4823" max="4823" width="5.85546875" style="95" customWidth="1"/>
    <col min="4824" max="4824" width="7.140625" style="95" customWidth="1"/>
    <col min="4825" max="4825" width="8" style="95" customWidth="1"/>
    <col min="4826" max="4826" width="9.140625" style="95"/>
    <col min="4827" max="4827" width="6.140625" style="95" customWidth="1"/>
    <col min="4828" max="4830" width="8.140625" style="95" customWidth="1"/>
    <col min="4831" max="4831" width="9.140625" style="95"/>
    <col min="4832" max="4835" width="10.5703125" style="95" customWidth="1"/>
    <col min="4836" max="4839" width="10.85546875" style="95" customWidth="1"/>
    <col min="4840" max="5071" width="9.140625" style="95"/>
    <col min="5072" max="5073" width="1.140625" style="95" customWidth="1"/>
    <col min="5074" max="5074" width="36.28515625" style="95" customWidth="1"/>
    <col min="5075" max="5075" width="9" style="95" customWidth="1"/>
    <col min="5076" max="5076" width="9.140625" style="95" customWidth="1"/>
    <col min="5077" max="5077" width="19.85546875" style="95" customWidth="1"/>
    <col min="5078" max="5078" width="7.85546875" style="95" customWidth="1"/>
    <col min="5079" max="5079" width="5.85546875" style="95" customWidth="1"/>
    <col min="5080" max="5080" width="7.140625" style="95" customWidth="1"/>
    <col min="5081" max="5081" width="8" style="95" customWidth="1"/>
    <col min="5082" max="5082" width="9.140625" style="95"/>
    <col min="5083" max="5083" width="6.140625" style="95" customWidth="1"/>
    <col min="5084" max="5086" width="8.140625" style="95" customWidth="1"/>
    <col min="5087" max="5087" width="9.140625" style="95"/>
    <col min="5088" max="5091" width="10.5703125" style="95" customWidth="1"/>
    <col min="5092" max="5095" width="10.85546875" style="95" customWidth="1"/>
    <col min="5096" max="5327" width="9.140625" style="95"/>
    <col min="5328" max="5329" width="1.140625" style="95" customWidth="1"/>
    <col min="5330" max="5330" width="36.28515625" style="95" customWidth="1"/>
    <col min="5331" max="5331" width="9" style="95" customWidth="1"/>
    <col min="5332" max="5332" width="9.140625" style="95" customWidth="1"/>
    <col min="5333" max="5333" width="19.85546875" style="95" customWidth="1"/>
    <col min="5334" max="5334" width="7.85546875" style="95" customWidth="1"/>
    <col min="5335" max="5335" width="5.85546875" style="95" customWidth="1"/>
    <col min="5336" max="5336" width="7.140625" style="95" customWidth="1"/>
    <col min="5337" max="5337" width="8" style="95" customWidth="1"/>
    <col min="5338" max="5338" width="9.140625" style="95"/>
    <col min="5339" max="5339" width="6.140625" style="95" customWidth="1"/>
    <col min="5340" max="5342" width="8.140625" style="95" customWidth="1"/>
    <col min="5343" max="5343" width="9.140625" style="95"/>
    <col min="5344" max="5347" width="10.5703125" style="95" customWidth="1"/>
    <col min="5348" max="5351" width="10.85546875" style="95" customWidth="1"/>
    <col min="5352" max="5583" width="9.140625" style="95"/>
    <col min="5584" max="5585" width="1.140625" style="95" customWidth="1"/>
    <col min="5586" max="5586" width="36.28515625" style="95" customWidth="1"/>
    <col min="5587" max="5587" width="9" style="95" customWidth="1"/>
    <col min="5588" max="5588" width="9.140625" style="95" customWidth="1"/>
    <col min="5589" max="5589" width="19.85546875" style="95" customWidth="1"/>
    <col min="5590" max="5590" width="7.85546875" style="95" customWidth="1"/>
    <col min="5591" max="5591" width="5.85546875" style="95" customWidth="1"/>
    <col min="5592" max="5592" width="7.140625" style="95" customWidth="1"/>
    <col min="5593" max="5593" width="8" style="95" customWidth="1"/>
    <col min="5594" max="5594" width="9.140625" style="95"/>
    <col min="5595" max="5595" width="6.140625" style="95" customWidth="1"/>
    <col min="5596" max="5598" width="8.140625" style="95" customWidth="1"/>
    <col min="5599" max="5599" width="9.140625" style="95"/>
    <col min="5600" max="5603" width="10.5703125" style="95" customWidth="1"/>
    <col min="5604" max="5607" width="10.85546875" style="95" customWidth="1"/>
    <col min="5608" max="5839" width="9.140625" style="95"/>
    <col min="5840" max="5841" width="1.140625" style="95" customWidth="1"/>
    <col min="5842" max="5842" width="36.28515625" style="95" customWidth="1"/>
    <col min="5843" max="5843" width="9" style="95" customWidth="1"/>
    <col min="5844" max="5844" width="9.140625" style="95" customWidth="1"/>
    <col min="5845" max="5845" width="19.85546875" style="95" customWidth="1"/>
    <col min="5846" max="5846" width="7.85546875" style="95" customWidth="1"/>
    <col min="5847" max="5847" width="5.85546875" style="95" customWidth="1"/>
    <col min="5848" max="5848" width="7.140625" style="95" customWidth="1"/>
    <col min="5849" max="5849" width="8" style="95" customWidth="1"/>
    <col min="5850" max="5850" width="9.140625" style="95"/>
    <col min="5851" max="5851" width="6.140625" style="95" customWidth="1"/>
    <col min="5852" max="5854" width="8.140625" style="95" customWidth="1"/>
    <col min="5855" max="5855" width="9.140625" style="95"/>
    <col min="5856" max="5859" width="10.5703125" style="95" customWidth="1"/>
    <col min="5860" max="5863" width="10.85546875" style="95" customWidth="1"/>
    <col min="5864" max="6095" width="9.140625" style="95"/>
    <col min="6096" max="6097" width="1.140625" style="95" customWidth="1"/>
    <col min="6098" max="6098" width="36.28515625" style="95" customWidth="1"/>
    <col min="6099" max="6099" width="9" style="95" customWidth="1"/>
    <col min="6100" max="6100" width="9.140625" style="95" customWidth="1"/>
    <col min="6101" max="6101" width="19.85546875" style="95" customWidth="1"/>
    <col min="6102" max="6102" width="7.85546875" style="95" customWidth="1"/>
    <col min="6103" max="6103" width="5.85546875" style="95" customWidth="1"/>
    <col min="6104" max="6104" width="7.140625" style="95" customWidth="1"/>
    <col min="6105" max="6105" width="8" style="95" customWidth="1"/>
    <col min="6106" max="6106" width="9.140625" style="95"/>
    <col min="6107" max="6107" width="6.140625" style="95" customWidth="1"/>
    <col min="6108" max="6110" width="8.140625" style="95" customWidth="1"/>
    <col min="6111" max="6111" width="9.140625" style="95"/>
    <col min="6112" max="6115" width="10.5703125" style="95" customWidth="1"/>
    <col min="6116" max="6119" width="10.85546875" style="95" customWidth="1"/>
    <col min="6120" max="6351" width="9.140625" style="95"/>
    <col min="6352" max="6353" width="1.140625" style="95" customWidth="1"/>
    <col min="6354" max="6354" width="36.28515625" style="95" customWidth="1"/>
    <col min="6355" max="6355" width="9" style="95" customWidth="1"/>
    <col min="6356" max="6356" width="9.140625" style="95" customWidth="1"/>
    <col min="6357" max="6357" width="19.85546875" style="95" customWidth="1"/>
    <col min="6358" max="6358" width="7.85546875" style="95" customWidth="1"/>
    <col min="6359" max="6359" width="5.85546875" style="95" customWidth="1"/>
    <col min="6360" max="6360" width="7.140625" style="95" customWidth="1"/>
    <col min="6361" max="6361" width="8" style="95" customWidth="1"/>
    <col min="6362" max="6362" width="9.140625" style="95"/>
    <col min="6363" max="6363" width="6.140625" style="95" customWidth="1"/>
    <col min="6364" max="6366" width="8.140625" style="95" customWidth="1"/>
    <col min="6367" max="6367" width="9.140625" style="95"/>
    <col min="6368" max="6371" width="10.5703125" style="95" customWidth="1"/>
    <col min="6372" max="6375" width="10.85546875" style="95" customWidth="1"/>
    <col min="6376" max="6607" width="9.140625" style="95"/>
    <col min="6608" max="6609" width="1.140625" style="95" customWidth="1"/>
    <col min="6610" max="6610" width="36.28515625" style="95" customWidth="1"/>
    <col min="6611" max="6611" width="9" style="95" customWidth="1"/>
    <col min="6612" max="6612" width="9.140625" style="95" customWidth="1"/>
    <col min="6613" max="6613" width="19.85546875" style="95" customWidth="1"/>
    <col min="6614" max="6614" width="7.85546875" style="95" customWidth="1"/>
    <col min="6615" max="6615" width="5.85546875" style="95" customWidth="1"/>
    <col min="6616" max="6616" width="7.140625" style="95" customWidth="1"/>
    <col min="6617" max="6617" width="8" style="95" customWidth="1"/>
    <col min="6618" max="6618" width="9.140625" style="95"/>
    <col min="6619" max="6619" width="6.140625" style="95" customWidth="1"/>
    <col min="6620" max="6622" width="8.140625" style="95" customWidth="1"/>
    <col min="6623" max="6623" width="9.140625" style="95"/>
    <col min="6624" max="6627" width="10.5703125" style="95" customWidth="1"/>
    <col min="6628" max="6631" width="10.85546875" style="95" customWidth="1"/>
    <col min="6632" max="6863" width="9.140625" style="95"/>
    <col min="6864" max="6865" width="1.140625" style="95" customWidth="1"/>
    <col min="6866" max="6866" width="36.28515625" style="95" customWidth="1"/>
    <col min="6867" max="6867" width="9" style="95" customWidth="1"/>
    <col min="6868" max="6868" width="9.140625" style="95" customWidth="1"/>
    <col min="6869" max="6869" width="19.85546875" style="95" customWidth="1"/>
    <col min="6870" max="6870" width="7.85546875" style="95" customWidth="1"/>
    <col min="6871" max="6871" width="5.85546875" style="95" customWidth="1"/>
    <col min="6872" max="6872" width="7.140625" style="95" customWidth="1"/>
    <col min="6873" max="6873" width="8" style="95" customWidth="1"/>
    <col min="6874" max="6874" width="9.140625" style="95"/>
    <col min="6875" max="6875" width="6.140625" style="95" customWidth="1"/>
    <col min="6876" max="6878" width="8.140625" style="95" customWidth="1"/>
    <col min="6879" max="6879" width="9.140625" style="95"/>
    <col min="6880" max="6883" width="10.5703125" style="95" customWidth="1"/>
    <col min="6884" max="6887" width="10.85546875" style="95" customWidth="1"/>
    <col min="6888" max="7119" width="9.140625" style="95"/>
    <col min="7120" max="7121" width="1.140625" style="95" customWidth="1"/>
    <col min="7122" max="7122" width="36.28515625" style="95" customWidth="1"/>
    <col min="7123" max="7123" width="9" style="95" customWidth="1"/>
    <col min="7124" max="7124" width="9.140625" style="95" customWidth="1"/>
    <col min="7125" max="7125" width="19.85546875" style="95" customWidth="1"/>
    <col min="7126" max="7126" width="7.85546875" style="95" customWidth="1"/>
    <col min="7127" max="7127" width="5.85546875" style="95" customWidth="1"/>
    <col min="7128" max="7128" width="7.140625" style="95" customWidth="1"/>
    <col min="7129" max="7129" width="8" style="95" customWidth="1"/>
    <col min="7130" max="7130" width="9.140625" style="95"/>
    <col min="7131" max="7131" width="6.140625" style="95" customWidth="1"/>
    <col min="7132" max="7134" width="8.140625" style="95" customWidth="1"/>
    <col min="7135" max="7135" width="9.140625" style="95"/>
    <col min="7136" max="7139" width="10.5703125" style="95" customWidth="1"/>
    <col min="7140" max="7143" width="10.85546875" style="95" customWidth="1"/>
    <col min="7144" max="7375" width="9.140625" style="95"/>
    <col min="7376" max="7377" width="1.140625" style="95" customWidth="1"/>
    <col min="7378" max="7378" width="36.28515625" style="95" customWidth="1"/>
    <col min="7379" max="7379" width="9" style="95" customWidth="1"/>
    <col min="7380" max="7380" width="9.140625" style="95" customWidth="1"/>
    <col min="7381" max="7381" width="19.85546875" style="95" customWidth="1"/>
    <col min="7382" max="7382" width="7.85546875" style="95" customWidth="1"/>
    <col min="7383" max="7383" width="5.85546875" style="95" customWidth="1"/>
    <col min="7384" max="7384" width="7.140625" style="95" customWidth="1"/>
    <col min="7385" max="7385" width="8" style="95" customWidth="1"/>
    <col min="7386" max="7386" width="9.140625" style="95"/>
    <col min="7387" max="7387" width="6.140625" style="95" customWidth="1"/>
    <col min="7388" max="7390" width="8.140625" style="95" customWidth="1"/>
    <col min="7391" max="7391" width="9.140625" style="95"/>
    <col min="7392" max="7395" width="10.5703125" style="95" customWidth="1"/>
    <col min="7396" max="7399" width="10.85546875" style="95" customWidth="1"/>
    <col min="7400" max="7631" width="9.140625" style="95"/>
    <col min="7632" max="7633" width="1.140625" style="95" customWidth="1"/>
    <col min="7634" max="7634" width="36.28515625" style="95" customWidth="1"/>
    <col min="7635" max="7635" width="9" style="95" customWidth="1"/>
    <col min="7636" max="7636" width="9.140625" style="95" customWidth="1"/>
    <col min="7637" max="7637" width="19.85546875" style="95" customWidth="1"/>
    <col min="7638" max="7638" width="7.85546875" style="95" customWidth="1"/>
    <col min="7639" max="7639" width="5.85546875" style="95" customWidth="1"/>
    <col min="7640" max="7640" width="7.140625" style="95" customWidth="1"/>
    <col min="7641" max="7641" width="8" style="95" customWidth="1"/>
    <col min="7642" max="7642" width="9.140625" style="95"/>
    <col min="7643" max="7643" width="6.140625" style="95" customWidth="1"/>
    <col min="7644" max="7646" width="8.140625" style="95" customWidth="1"/>
    <col min="7647" max="7647" width="9.140625" style="95"/>
    <col min="7648" max="7651" width="10.5703125" style="95" customWidth="1"/>
    <col min="7652" max="7655" width="10.85546875" style="95" customWidth="1"/>
    <col min="7656" max="7887" width="9.140625" style="95"/>
    <col min="7888" max="7889" width="1.140625" style="95" customWidth="1"/>
    <col min="7890" max="7890" width="36.28515625" style="95" customWidth="1"/>
    <col min="7891" max="7891" width="9" style="95" customWidth="1"/>
    <col min="7892" max="7892" width="9.140625" style="95" customWidth="1"/>
    <col min="7893" max="7893" width="19.85546875" style="95" customWidth="1"/>
    <col min="7894" max="7894" width="7.85546875" style="95" customWidth="1"/>
    <col min="7895" max="7895" width="5.85546875" style="95" customWidth="1"/>
    <col min="7896" max="7896" width="7.140625" style="95" customWidth="1"/>
    <col min="7897" max="7897" width="8" style="95" customWidth="1"/>
    <col min="7898" max="7898" width="9.140625" style="95"/>
    <col min="7899" max="7899" width="6.140625" style="95" customWidth="1"/>
    <col min="7900" max="7902" width="8.140625" style="95" customWidth="1"/>
    <col min="7903" max="7903" width="9.140625" style="95"/>
    <col min="7904" max="7907" width="10.5703125" style="95" customWidth="1"/>
    <col min="7908" max="7911" width="10.85546875" style="95" customWidth="1"/>
    <col min="7912" max="8143" width="9.140625" style="95"/>
    <col min="8144" max="8145" width="1.140625" style="95" customWidth="1"/>
    <col min="8146" max="8146" width="36.28515625" style="95" customWidth="1"/>
    <col min="8147" max="8147" width="9" style="95" customWidth="1"/>
    <col min="8148" max="8148" width="9.140625" style="95" customWidth="1"/>
    <col min="8149" max="8149" width="19.85546875" style="95" customWidth="1"/>
    <col min="8150" max="8150" width="7.85546875" style="95" customWidth="1"/>
    <col min="8151" max="8151" width="5.85546875" style="95" customWidth="1"/>
    <col min="8152" max="8152" width="7.140625" style="95" customWidth="1"/>
    <col min="8153" max="8153" width="8" style="95" customWidth="1"/>
    <col min="8154" max="8154" width="9.140625" style="95"/>
    <col min="8155" max="8155" width="6.140625" style="95" customWidth="1"/>
    <col min="8156" max="8158" width="8.140625" style="95" customWidth="1"/>
    <col min="8159" max="8159" width="9.140625" style="95"/>
    <col min="8160" max="8163" width="10.5703125" style="95" customWidth="1"/>
    <col min="8164" max="8167" width="10.85546875" style="95" customWidth="1"/>
    <col min="8168" max="8399" width="9.140625" style="95"/>
    <col min="8400" max="8401" width="1.140625" style="95" customWidth="1"/>
    <col min="8402" max="8402" width="36.28515625" style="95" customWidth="1"/>
    <col min="8403" max="8403" width="9" style="95" customWidth="1"/>
    <col min="8404" max="8404" width="9.140625" style="95" customWidth="1"/>
    <col min="8405" max="8405" width="19.85546875" style="95" customWidth="1"/>
    <col min="8406" max="8406" width="7.85546875" style="95" customWidth="1"/>
    <col min="8407" max="8407" width="5.85546875" style="95" customWidth="1"/>
    <col min="8408" max="8408" width="7.140625" style="95" customWidth="1"/>
    <col min="8409" max="8409" width="8" style="95" customWidth="1"/>
    <col min="8410" max="8410" width="9.140625" style="95"/>
    <col min="8411" max="8411" width="6.140625" style="95" customWidth="1"/>
    <col min="8412" max="8414" width="8.140625" style="95" customWidth="1"/>
    <col min="8415" max="8415" width="9.140625" style="95"/>
    <col min="8416" max="8419" width="10.5703125" style="95" customWidth="1"/>
    <col min="8420" max="8423" width="10.85546875" style="95" customWidth="1"/>
    <col min="8424" max="8655" width="9.140625" style="95"/>
    <col min="8656" max="8657" width="1.140625" style="95" customWidth="1"/>
    <col min="8658" max="8658" width="36.28515625" style="95" customWidth="1"/>
    <col min="8659" max="8659" width="9" style="95" customWidth="1"/>
    <col min="8660" max="8660" width="9.140625" style="95" customWidth="1"/>
    <col min="8661" max="8661" width="19.85546875" style="95" customWidth="1"/>
    <col min="8662" max="8662" width="7.85546875" style="95" customWidth="1"/>
    <col min="8663" max="8663" width="5.85546875" style="95" customWidth="1"/>
    <col min="8664" max="8664" width="7.140625" style="95" customWidth="1"/>
    <col min="8665" max="8665" width="8" style="95" customWidth="1"/>
    <col min="8666" max="8666" width="9.140625" style="95"/>
    <col min="8667" max="8667" width="6.140625" style="95" customWidth="1"/>
    <col min="8668" max="8670" width="8.140625" style="95" customWidth="1"/>
    <col min="8671" max="8671" width="9.140625" style="95"/>
    <col min="8672" max="8675" width="10.5703125" style="95" customWidth="1"/>
    <col min="8676" max="8679" width="10.85546875" style="95" customWidth="1"/>
    <col min="8680" max="8911" width="9.140625" style="95"/>
    <col min="8912" max="8913" width="1.140625" style="95" customWidth="1"/>
    <col min="8914" max="8914" width="36.28515625" style="95" customWidth="1"/>
    <col min="8915" max="8915" width="9" style="95" customWidth="1"/>
    <col min="8916" max="8916" width="9.140625" style="95" customWidth="1"/>
    <col min="8917" max="8917" width="19.85546875" style="95" customWidth="1"/>
    <col min="8918" max="8918" width="7.85546875" style="95" customWidth="1"/>
    <col min="8919" max="8919" width="5.85546875" style="95" customWidth="1"/>
    <col min="8920" max="8920" width="7.140625" style="95" customWidth="1"/>
    <col min="8921" max="8921" width="8" style="95" customWidth="1"/>
    <col min="8922" max="8922" width="9.140625" style="95"/>
    <col min="8923" max="8923" width="6.140625" style="95" customWidth="1"/>
    <col min="8924" max="8926" width="8.140625" style="95" customWidth="1"/>
    <col min="8927" max="8927" width="9.140625" style="95"/>
    <col min="8928" max="8931" width="10.5703125" style="95" customWidth="1"/>
    <col min="8932" max="8935" width="10.85546875" style="95" customWidth="1"/>
    <col min="8936" max="9167" width="9.140625" style="95"/>
    <col min="9168" max="9169" width="1.140625" style="95" customWidth="1"/>
    <col min="9170" max="9170" width="36.28515625" style="95" customWidth="1"/>
    <col min="9171" max="9171" width="9" style="95" customWidth="1"/>
    <col min="9172" max="9172" width="9.140625" style="95" customWidth="1"/>
    <col min="9173" max="9173" width="19.85546875" style="95" customWidth="1"/>
    <col min="9174" max="9174" width="7.85546875" style="95" customWidth="1"/>
    <col min="9175" max="9175" width="5.85546875" style="95" customWidth="1"/>
    <col min="9176" max="9176" width="7.140625" style="95" customWidth="1"/>
    <col min="9177" max="9177" width="8" style="95" customWidth="1"/>
    <col min="9178" max="9178" width="9.140625" style="95"/>
    <col min="9179" max="9179" width="6.140625" style="95" customWidth="1"/>
    <col min="9180" max="9182" width="8.140625" style="95" customWidth="1"/>
    <col min="9183" max="9183" width="9.140625" style="95"/>
    <col min="9184" max="9187" width="10.5703125" style="95" customWidth="1"/>
    <col min="9188" max="9191" width="10.85546875" style="95" customWidth="1"/>
    <col min="9192" max="9423" width="9.140625" style="95"/>
    <col min="9424" max="9425" width="1.140625" style="95" customWidth="1"/>
    <col min="9426" max="9426" width="36.28515625" style="95" customWidth="1"/>
    <col min="9427" max="9427" width="9" style="95" customWidth="1"/>
    <col min="9428" max="9428" width="9.140625" style="95" customWidth="1"/>
    <col min="9429" max="9429" width="19.85546875" style="95" customWidth="1"/>
    <col min="9430" max="9430" width="7.85546875" style="95" customWidth="1"/>
    <col min="9431" max="9431" width="5.85546875" style="95" customWidth="1"/>
    <col min="9432" max="9432" width="7.140625" style="95" customWidth="1"/>
    <col min="9433" max="9433" width="8" style="95" customWidth="1"/>
    <col min="9434" max="9434" width="9.140625" style="95"/>
    <col min="9435" max="9435" width="6.140625" style="95" customWidth="1"/>
    <col min="9436" max="9438" width="8.140625" style="95" customWidth="1"/>
    <col min="9439" max="9439" width="9.140625" style="95"/>
    <col min="9440" max="9443" width="10.5703125" style="95" customWidth="1"/>
    <col min="9444" max="9447" width="10.85546875" style="95" customWidth="1"/>
    <col min="9448" max="9679" width="9.140625" style="95"/>
    <col min="9680" max="9681" width="1.140625" style="95" customWidth="1"/>
    <col min="9682" max="9682" width="36.28515625" style="95" customWidth="1"/>
    <col min="9683" max="9683" width="9" style="95" customWidth="1"/>
    <col min="9684" max="9684" width="9.140625" style="95" customWidth="1"/>
    <col min="9685" max="9685" width="19.85546875" style="95" customWidth="1"/>
    <col min="9686" max="9686" width="7.85546875" style="95" customWidth="1"/>
    <col min="9687" max="9687" width="5.85546875" style="95" customWidth="1"/>
    <col min="9688" max="9688" width="7.140625" style="95" customWidth="1"/>
    <col min="9689" max="9689" width="8" style="95" customWidth="1"/>
    <col min="9690" max="9690" width="9.140625" style="95"/>
    <col min="9691" max="9691" width="6.140625" style="95" customWidth="1"/>
    <col min="9692" max="9694" width="8.140625" style="95" customWidth="1"/>
    <col min="9695" max="9695" width="9.140625" style="95"/>
    <col min="9696" max="9699" width="10.5703125" style="95" customWidth="1"/>
    <col min="9700" max="9703" width="10.85546875" style="95" customWidth="1"/>
    <col min="9704" max="9935" width="9.140625" style="95"/>
    <col min="9936" max="9937" width="1.140625" style="95" customWidth="1"/>
    <col min="9938" max="9938" width="36.28515625" style="95" customWidth="1"/>
    <col min="9939" max="9939" width="9" style="95" customWidth="1"/>
    <col min="9940" max="9940" width="9.140625" style="95" customWidth="1"/>
    <col min="9941" max="9941" width="19.85546875" style="95" customWidth="1"/>
    <col min="9942" max="9942" width="7.85546875" style="95" customWidth="1"/>
    <col min="9943" max="9943" width="5.85546875" style="95" customWidth="1"/>
    <col min="9944" max="9944" width="7.140625" style="95" customWidth="1"/>
    <col min="9945" max="9945" width="8" style="95" customWidth="1"/>
    <col min="9946" max="9946" width="9.140625" style="95"/>
    <col min="9947" max="9947" width="6.140625" style="95" customWidth="1"/>
    <col min="9948" max="9950" width="8.140625" style="95" customWidth="1"/>
    <col min="9951" max="9951" width="9.140625" style="95"/>
    <col min="9952" max="9955" width="10.5703125" style="95" customWidth="1"/>
    <col min="9956" max="9959" width="10.85546875" style="95" customWidth="1"/>
    <col min="9960" max="10191" width="9.140625" style="95"/>
    <col min="10192" max="10193" width="1.140625" style="95" customWidth="1"/>
    <col min="10194" max="10194" width="36.28515625" style="95" customWidth="1"/>
    <col min="10195" max="10195" width="9" style="95" customWidth="1"/>
    <col min="10196" max="10196" width="9.140625" style="95" customWidth="1"/>
    <col min="10197" max="10197" width="19.85546875" style="95" customWidth="1"/>
    <col min="10198" max="10198" width="7.85546875" style="95" customWidth="1"/>
    <col min="10199" max="10199" width="5.85546875" style="95" customWidth="1"/>
    <col min="10200" max="10200" width="7.140625" style="95" customWidth="1"/>
    <col min="10201" max="10201" width="8" style="95" customWidth="1"/>
    <col min="10202" max="10202" width="9.140625" style="95"/>
    <col min="10203" max="10203" width="6.140625" style="95" customWidth="1"/>
    <col min="10204" max="10206" width="8.140625" style="95" customWidth="1"/>
    <col min="10207" max="10207" width="9.140625" style="95"/>
    <col min="10208" max="10211" width="10.5703125" style="95" customWidth="1"/>
    <col min="10212" max="10215" width="10.85546875" style="95" customWidth="1"/>
    <col min="10216" max="10447" width="9.140625" style="95"/>
    <col min="10448" max="10449" width="1.140625" style="95" customWidth="1"/>
    <col min="10450" max="10450" width="36.28515625" style="95" customWidth="1"/>
    <col min="10451" max="10451" width="9" style="95" customWidth="1"/>
    <col min="10452" max="10452" width="9.140625" style="95" customWidth="1"/>
    <col min="10453" max="10453" width="19.85546875" style="95" customWidth="1"/>
    <col min="10454" max="10454" width="7.85546875" style="95" customWidth="1"/>
    <col min="10455" max="10455" width="5.85546875" style="95" customWidth="1"/>
    <col min="10456" max="10456" width="7.140625" style="95" customWidth="1"/>
    <col min="10457" max="10457" width="8" style="95" customWidth="1"/>
    <col min="10458" max="10458" width="9.140625" style="95"/>
    <col min="10459" max="10459" width="6.140625" style="95" customWidth="1"/>
    <col min="10460" max="10462" width="8.140625" style="95" customWidth="1"/>
    <col min="10463" max="10463" width="9.140625" style="95"/>
    <col min="10464" max="10467" width="10.5703125" style="95" customWidth="1"/>
    <col min="10468" max="10471" width="10.85546875" style="95" customWidth="1"/>
    <col min="10472" max="10703" width="9.140625" style="95"/>
    <col min="10704" max="10705" width="1.140625" style="95" customWidth="1"/>
    <col min="10706" max="10706" width="36.28515625" style="95" customWidth="1"/>
    <col min="10707" max="10707" width="9" style="95" customWidth="1"/>
    <col min="10708" max="10708" width="9.140625" style="95" customWidth="1"/>
    <col min="10709" max="10709" width="19.85546875" style="95" customWidth="1"/>
    <col min="10710" max="10710" width="7.85546875" style="95" customWidth="1"/>
    <col min="10711" max="10711" width="5.85546875" style="95" customWidth="1"/>
    <col min="10712" max="10712" width="7.140625" style="95" customWidth="1"/>
    <col min="10713" max="10713" width="8" style="95" customWidth="1"/>
    <col min="10714" max="10714" width="9.140625" style="95"/>
    <col min="10715" max="10715" width="6.140625" style="95" customWidth="1"/>
    <col min="10716" max="10718" width="8.140625" style="95" customWidth="1"/>
    <col min="10719" max="10719" width="9.140625" style="95"/>
    <col min="10720" max="10723" width="10.5703125" style="95" customWidth="1"/>
    <col min="10724" max="10727" width="10.85546875" style="95" customWidth="1"/>
    <col min="10728" max="10959" width="9.140625" style="95"/>
    <col min="10960" max="10961" width="1.140625" style="95" customWidth="1"/>
    <col min="10962" max="10962" width="36.28515625" style="95" customWidth="1"/>
    <col min="10963" max="10963" width="9" style="95" customWidth="1"/>
    <col min="10964" max="10964" width="9.140625" style="95" customWidth="1"/>
    <col min="10965" max="10965" width="19.85546875" style="95" customWidth="1"/>
    <col min="10966" max="10966" width="7.85546875" style="95" customWidth="1"/>
    <col min="10967" max="10967" width="5.85546875" style="95" customWidth="1"/>
    <col min="10968" max="10968" width="7.140625" style="95" customWidth="1"/>
    <col min="10969" max="10969" width="8" style="95" customWidth="1"/>
    <col min="10970" max="10970" width="9.140625" style="95"/>
    <col min="10971" max="10971" width="6.140625" style="95" customWidth="1"/>
    <col min="10972" max="10974" width="8.140625" style="95" customWidth="1"/>
    <col min="10975" max="10975" width="9.140625" style="95"/>
    <col min="10976" max="10979" width="10.5703125" style="95" customWidth="1"/>
    <col min="10980" max="10983" width="10.85546875" style="95" customWidth="1"/>
    <col min="10984" max="11215" width="9.140625" style="95"/>
    <col min="11216" max="11217" width="1.140625" style="95" customWidth="1"/>
    <col min="11218" max="11218" width="36.28515625" style="95" customWidth="1"/>
    <col min="11219" max="11219" width="9" style="95" customWidth="1"/>
    <col min="11220" max="11220" width="9.140625" style="95" customWidth="1"/>
    <col min="11221" max="11221" width="19.85546875" style="95" customWidth="1"/>
    <col min="11222" max="11222" width="7.85546875" style="95" customWidth="1"/>
    <col min="11223" max="11223" width="5.85546875" style="95" customWidth="1"/>
    <col min="11224" max="11224" width="7.140625" style="95" customWidth="1"/>
    <col min="11225" max="11225" width="8" style="95" customWidth="1"/>
    <col min="11226" max="11226" width="9.140625" style="95"/>
    <col min="11227" max="11227" width="6.140625" style="95" customWidth="1"/>
    <col min="11228" max="11230" width="8.140625" style="95" customWidth="1"/>
    <col min="11231" max="11231" width="9.140625" style="95"/>
    <col min="11232" max="11235" width="10.5703125" style="95" customWidth="1"/>
    <col min="11236" max="11239" width="10.85546875" style="95" customWidth="1"/>
    <col min="11240" max="11471" width="9.140625" style="95"/>
    <col min="11472" max="11473" width="1.140625" style="95" customWidth="1"/>
    <col min="11474" max="11474" width="36.28515625" style="95" customWidth="1"/>
    <col min="11475" max="11475" width="9" style="95" customWidth="1"/>
    <col min="11476" max="11476" width="9.140625" style="95" customWidth="1"/>
    <col min="11477" max="11477" width="19.85546875" style="95" customWidth="1"/>
    <col min="11478" max="11478" width="7.85546875" style="95" customWidth="1"/>
    <col min="11479" max="11479" width="5.85546875" style="95" customWidth="1"/>
    <col min="11480" max="11480" width="7.140625" style="95" customWidth="1"/>
    <col min="11481" max="11481" width="8" style="95" customWidth="1"/>
    <col min="11482" max="11482" width="9.140625" style="95"/>
    <col min="11483" max="11483" width="6.140625" style="95" customWidth="1"/>
    <col min="11484" max="11486" width="8.140625" style="95" customWidth="1"/>
    <col min="11487" max="11487" width="9.140625" style="95"/>
    <col min="11488" max="11491" width="10.5703125" style="95" customWidth="1"/>
    <col min="11492" max="11495" width="10.85546875" style="95" customWidth="1"/>
    <col min="11496" max="11727" width="9.140625" style="95"/>
    <col min="11728" max="11729" width="1.140625" style="95" customWidth="1"/>
    <col min="11730" max="11730" width="36.28515625" style="95" customWidth="1"/>
    <col min="11731" max="11731" width="9" style="95" customWidth="1"/>
    <col min="11732" max="11732" width="9.140625" style="95" customWidth="1"/>
    <col min="11733" max="11733" width="19.85546875" style="95" customWidth="1"/>
    <col min="11734" max="11734" width="7.85546875" style="95" customWidth="1"/>
    <col min="11735" max="11735" width="5.85546875" style="95" customWidth="1"/>
    <col min="11736" max="11736" width="7.140625" style="95" customWidth="1"/>
    <col min="11737" max="11737" width="8" style="95" customWidth="1"/>
    <col min="11738" max="11738" width="9.140625" style="95"/>
    <col min="11739" max="11739" width="6.140625" style="95" customWidth="1"/>
    <col min="11740" max="11742" width="8.140625" style="95" customWidth="1"/>
    <col min="11743" max="11743" width="9.140625" style="95"/>
    <col min="11744" max="11747" width="10.5703125" style="95" customWidth="1"/>
    <col min="11748" max="11751" width="10.85546875" style="95" customWidth="1"/>
    <col min="11752" max="11983" width="9.140625" style="95"/>
    <col min="11984" max="11985" width="1.140625" style="95" customWidth="1"/>
    <col min="11986" max="11986" width="36.28515625" style="95" customWidth="1"/>
    <col min="11987" max="11987" width="9" style="95" customWidth="1"/>
    <col min="11988" max="11988" width="9.140625" style="95" customWidth="1"/>
    <col min="11989" max="11989" width="19.85546875" style="95" customWidth="1"/>
    <col min="11990" max="11990" width="7.85546875" style="95" customWidth="1"/>
    <col min="11991" max="11991" width="5.85546875" style="95" customWidth="1"/>
    <col min="11992" max="11992" width="7.140625" style="95" customWidth="1"/>
    <col min="11993" max="11993" width="8" style="95" customWidth="1"/>
    <col min="11994" max="11994" width="9.140625" style="95"/>
    <col min="11995" max="11995" width="6.140625" style="95" customWidth="1"/>
    <col min="11996" max="11998" width="8.140625" style="95" customWidth="1"/>
    <col min="11999" max="11999" width="9.140625" style="95"/>
    <col min="12000" max="12003" width="10.5703125" style="95" customWidth="1"/>
    <col min="12004" max="12007" width="10.85546875" style="95" customWidth="1"/>
    <col min="12008" max="12239" width="9.140625" style="95"/>
    <col min="12240" max="12241" width="1.140625" style="95" customWidth="1"/>
    <col min="12242" max="12242" width="36.28515625" style="95" customWidth="1"/>
    <col min="12243" max="12243" width="9" style="95" customWidth="1"/>
    <col min="12244" max="12244" width="9.140625" style="95" customWidth="1"/>
    <col min="12245" max="12245" width="19.85546875" style="95" customWidth="1"/>
    <col min="12246" max="12246" width="7.85546875" style="95" customWidth="1"/>
    <col min="12247" max="12247" width="5.85546875" style="95" customWidth="1"/>
    <col min="12248" max="12248" width="7.140625" style="95" customWidth="1"/>
    <col min="12249" max="12249" width="8" style="95" customWidth="1"/>
    <col min="12250" max="12250" width="9.140625" style="95"/>
    <col min="12251" max="12251" width="6.140625" style="95" customWidth="1"/>
    <col min="12252" max="12254" width="8.140625" style="95" customWidth="1"/>
    <col min="12255" max="12255" width="9.140625" style="95"/>
    <col min="12256" max="12259" width="10.5703125" style="95" customWidth="1"/>
    <col min="12260" max="12263" width="10.85546875" style="95" customWidth="1"/>
    <col min="12264" max="12495" width="9.140625" style="95"/>
    <col min="12496" max="12497" width="1.140625" style="95" customWidth="1"/>
    <col min="12498" max="12498" width="36.28515625" style="95" customWidth="1"/>
    <col min="12499" max="12499" width="9" style="95" customWidth="1"/>
    <col min="12500" max="12500" width="9.140625" style="95" customWidth="1"/>
    <col min="12501" max="12501" width="19.85546875" style="95" customWidth="1"/>
    <col min="12502" max="12502" width="7.85546875" style="95" customWidth="1"/>
    <col min="12503" max="12503" width="5.85546875" style="95" customWidth="1"/>
    <col min="12504" max="12504" width="7.140625" style="95" customWidth="1"/>
    <col min="12505" max="12505" width="8" style="95" customWidth="1"/>
    <col min="12506" max="12506" width="9.140625" style="95"/>
    <col min="12507" max="12507" width="6.140625" style="95" customWidth="1"/>
    <col min="12508" max="12510" width="8.140625" style="95" customWidth="1"/>
    <col min="12511" max="12511" width="9.140625" style="95"/>
    <col min="12512" max="12515" width="10.5703125" style="95" customWidth="1"/>
    <col min="12516" max="12519" width="10.85546875" style="95" customWidth="1"/>
    <col min="12520" max="12751" width="9.140625" style="95"/>
    <col min="12752" max="12753" width="1.140625" style="95" customWidth="1"/>
    <col min="12754" max="12754" width="36.28515625" style="95" customWidth="1"/>
    <col min="12755" max="12755" width="9" style="95" customWidth="1"/>
    <col min="12756" max="12756" width="9.140625" style="95" customWidth="1"/>
    <col min="12757" max="12757" width="19.85546875" style="95" customWidth="1"/>
    <col min="12758" max="12758" width="7.85546875" style="95" customWidth="1"/>
    <col min="12759" max="12759" width="5.85546875" style="95" customWidth="1"/>
    <col min="12760" max="12760" width="7.140625" style="95" customWidth="1"/>
    <col min="12761" max="12761" width="8" style="95" customWidth="1"/>
    <col min="12762" max="12762" width="9.140625" style="95"/>
    <col min="12763" max="12763" width="6.140625" style="95" customWidth="1"/>
    <col min="12764" max="12766" width="8.140625" style="95" customWidth="1"/>
    <col min="12767" max="12767" width="9.140625" style="95"/>
    <col min="12768" max="12771" width="10.5703125" style="95" customWidth="1"/>
    <col min="12772" max="12775" width="10.85546875" style="95" customWidth="1"/>
    <col min="12776" max="13007" width="9.140625" style="95"/>
    <col min="13008" max="13009" width="1.140625" style="95" customWidth="1"/>
    <col min="13010" max="13010" width="36.28515625" style="95" customWidth="1"/>
    <col min="13011" max="13011" width="9" style="95" customWidth="1"/>
    <col min="13012" max="13012" width="9.140625" style="95" customWidth="1"/>
    <col min="13013" max="13013" width="19.85546875" style="95" customWidth="1"/>
    <col min="13014" max="13014" width="7.85546875" style="95" customWidth="1"/>
    <col min="13015" max="13015" width="5.85546875" style="95" customWidth="1"/>
    <col min="13016" max="13016" width="7.140625" style="95" customWidth="1"/>
    <col min="13017" max="13017" width="8" style="95" customWidth="1"/>
    <col min="13018" max="13018" width="9.140625" style="95"/>
    <col min="13019" max="13019" width="6.140625" style="95" customWidth="1"/>
    <col min="13020" max="13022" width="8.140625" style="95" customWidth="1"/>
    <col min="13023" max="13023" width="9.140625" style="95"/>
    <col min="13024" max="13027" width="10.5703125" style="95" customWidth="1"/>
    <col min="13028" max="13031" width="10.85546875" style="95" customWidth="1"/>
    <col min="13032" max="13263" width="9.140625" style="95"/>
    <col min="13264" max="13265" width="1.140625" style="95" customWidth="1"/>
    <col min="13266" max="13266" width="36.28515625" style="95" customWidth="1"/>
    <col min="13267" max="13267" width="9" style="95" customWidth="1"/>
    <col min="13268" max="13268" width="9.140625" style="95" customWidth="1"/>
    <col min="13269" max="13269" width="19.85546875" style="95" customWidth="1"/>
    <col min="13270" max="13270" width="7.85546875" style="95" customWidth="1"/>
    <col min="13271" max="13271" width="5.85546875" style="95" customWidth="1"/>
    <col min="13272" max="13272" width="7.140625" style="95" customWidth="1"/>
    <col min="13273" max="13273" width="8" style="95" customWidth="1"/>
    <col min="13274" max="13274" width="9.140625" style="95"/>
    <col min="13275" max="13275" width="6.140625" style="95" customWidth="1"/>
    <col min="13276" max="13278" width="8.140625" style="95" customWidth="1"/>
    <col min="13279" max="13279" width="9.140625" style="95"/>
    <col min="13280" max="13283" width="10.5703125" style="95" customWidth="1"/>
    <col min="13284" max="13287" width="10.85546875" style="95" customWidth="1"/>
    <col min="13288" max="13519" width="9.140625" style="95"/>
    <col min="13520" max="13521" width="1.140625" style="95" customWidth="1"/>
    <col min="13522" max="13522" width="36.28515625" style="95" customWidth="1"/>
    <col min="13523" max="13523" width="9" style="95" customWidth="1"/>
    <col min="13524" max="13524" width="9.140625" style="95" customWidth="1"/>
    <col min="13525" max="13525" width="19.85546875" style="95" customWidth="1"/>
    <col min="13526" max="13526" width="7.85546875" style="95" customWidth="1"/>
    <col min="13527" max="13527" width="5.85546875" style="95" customWidth="1"/>
    <col min="13528" max="13528" width="7.140625" style="95" customWidth="1"/>
    <col min="13529" max="13529" width="8" style="95" customWidth="1"/>
    <col min="13530" max="13530" width="9.140625" style="95"/>
    <col min="13531" max="13531" width="6.140625" style="95" customWidth="1"/>
    <col min="13532" max="13534" width="8.140625" style="95" customWidth="1"/>
    <col min="13535" max="13535" width="9.140625" style="95"/>
    <col min="13536" max="13539" width="10.5703125" style="95" customWidth="1"/>
    <col min="13540" max="13543" width="10.85546875" style="95" customWidth="1"/>
    <col min="13544" max="13775" width="9.140625" style="95"/>
    <col min="13776" max="13777" width="1.140625" style="95" customWidth="1"/>
    <col min="13778" max="13778" width="36.28515625" style="95" customWidth="1"/>
    <col min="13779" max="13779" width="9" style="95" customWidth="1"/>
    <col min="13780" max="13780" width="9.140625" style="95" customWidth="1"/>
    <col min="13781" max="13781" width="19.85546875" style="95" customWidth="1"/>
    <col min="13782" max="13782" width="7.85546875" style="95" customWidth="1"/>
    <col min="13783" max="13783" width="5.85546875" style="95" customWidth="1"/>
    <col min="13784" max="13784" width="7.140625" style="95" customWidth="1"/>
    <col min="13785" max="13785" width="8" style="95" customWidth="1"/>
    <col min="13786" max="13786" width="9.140625" style="95"/>
    <col min="13787" max="13787" width="6.140625" style="95" customWidth="1"/>
    <col min="13788" max="13790" width="8.140625" style="95" customWidth="1"/>
    <col min="13791" max="13791" width="9.140625" style="95"/>
    <col min="13792" max="13795" width="10.5703125" style="95" customWidth="1"/>
    <col min="13796" max="13799" width="10.85546875" style="95" customWidth="1"/>
    <col min="13800" max="14031" width="9.140625" style="95"/>
    <col min="14032" max="14033" width="1.140625" style="95" customWidth="1"/>
    <col min="14034" max="14034" width="36.28515625" style="95" customWidth="1"/>
    <col min="14035" max="14035" width="9" style="95" customWidth="1"/>
    <col min="14036" max="14036" width="9.140625" style="95" customWidth="1"/>
    <col min="14037" max="14037" width="19.85546875" style="95" customWidth="1"/>
    <col min="14038" max="14038" width="7.85546875" style="95" customWidth="1"/>
    <col min="14039" max="14039" width="5.85546875" style="95" customWidth="1"/>
    <col min="14040" max="14040" width="7.140625" style="95" customWidth="1"/>
    <col min="14041" max="14041" width="8" style="95" customWidth="1"/>
    <col min="14042" max="14042" width="9.140625" style="95"/>
    <col min="14043" max="14043" width="6.140625" style="95" customWidth="1"/>
    <col min="14044" max="14046" width="8.140625" style="95" customWidth="1"/>
    <col min="14047" max="14047" width="9.140625" style="95"/>
    <col min="14048" max="14051" width="10.5703125" style="95" customWidth="1"/>
    <col min="14052" max="14055" width="10.85546875" style="95" customWidth="1"/>
    <col min="14056" max="14287" width="9.140625" style="95"/>
    <col min="14288" max="14289" width="1.140625" style="95" customWidth="1"/>
    <col min="14290" max="14290" width="36.28515625" style="95" customWidth="1"/>
    <col min="14291" max="14291" width="9" style="95" customWidth="1"/>
    <col min="14292" max="14292" width="9.140625" style="95" customWidth="1"/>
    <col min="14293" max="14293" width="19.85546875" style="95" customWidth="1"/>
    <col min="14294" max="14294" width="7.85546875" style="95" customWidth="1"/>
    <col min="14295" max="14295" width="5.85546875" style="95" customWidth="1"/>
    <col min="14296" max="14296" width="7.140625" style="95" customWidth="1"/>
    <col min="14297" max="14297" width="8" style="95" customWidth="1"/>
    <col min="14298" max="14298" width="9.140625" style="95"/>
    <col min="14299" max="14299" width="6.140625" style="95" customWidth="1"/>
    <col min="14300" max="14302" width="8.140625" style="95" customWidth="1"/>
    <col min="14303" max="14303" width="9.140625" style="95"/>
    <col min="14304" max="14307" width="10.5703125" style="95" customWidth="1"/>
    <col min="14308" max="14311" width="10.85546875" style="95" customWidth="1"/>
    <col min="14312" max="14543" width="9.140625" style="95"/>
    <col min="14544" max="14545" width="1.140625" style="95" customWidth="1"/>
    <col min="14546" max="14546" width="36.28515625" style="95" customWidth="1"/>
    <col min="14547" max="14547" width="9" style="95" customWidth="1"/>
    <col min="14548" max="14548" width="9.140625" style="95" customWidth="1"/>
    <col min="14549" max="14549" width="19.85546875" style="95" customWidth="1"/>
    <col min="14550" max="14550" width="7.85546875" style="95" customWidth="1"/>
    <col min="14551" max="14551" width="5.85546875" style="95" customWidth="1"/>
    <col min="14552" max="14552" width="7.140625" style="95" customWidth="1"/>
    <col min="14553" max="14553" width="8" style="95" customWidth="1"/>
    <col min="14554" max="14554" width="9.140625" style="95"/>
    <col min="14555" max="14555" width="6.140625" style="95" customWidth="1"/>
    <col min="14556" max="14558" width="8.140625" style="95" customWidth="1"/>
    <col min="14559" max="14559" width="9.140625" style="95"/>
    <col min="14560" max="14563" width="10.5703125" style="95" customWidth="1"/>
    <col min="14564" max="14567" width="10.85546875" style="95" customWidth="1"/>
    <col min="14568" max="14799" width="9.140625" style="95"/>
    <col min="14800" max="14801" width="1.140625" style="95" customWidth="1"/>
    <col min="14802" max="14802" width="36.28515625" style="95" customWidth="1"/>
    <col min="14803" max="14803" width="9" style="95" customWidth="1"/>
    <col min="14804" max="14804" width="9.140625" style="95" customWidth="1"/>
    <col min="14805" max="14805" width="19.85546875" style="95" customWidth="1"/>
    <col min="14806" max="14806" width="7.85546875" style="95" customWidth="1"/>
    <col min="14807" max="14807" width="5.85546875" style="95" customWidth="1"/>
    <col min="14808" max="14808" width="7.140625" style="95" customWidth="1"/>
    <col min="14809" max="14809" width="8" style="95" customWidth="1"/>
    <col min="14810" max="14810" width="9.140625" style="95"/>
    <col min="14811" max="14811" width="6.140625" style="95" customWidth="1"/>
    <col min="14812" max="14814" width="8.140625" style="95" customWidth="1"/>
    <col min="14815" max="14815" width="9.140625" style="95"/>
    <col min="14816" max="14819" width="10.5703125" style="95" customWidth="1"/>
    <col min="14820" max="14823" width="10.85546875" style="95" customWidth="1"/>
    <col min="14824" max="15055" width="9.140625" style="95"/>
    <col min="15056" max="15057" width="1.140625" style="95" customWidth="1"/>
    <col min="15058" max="15058" width="36.28515625" style="95" customWidth="1"/>
    <col min="15059" max="15059" width="9" style="95" customWidth="1"/>
    <col min="15060" max="15060" width="9.140625" style="95" customWidth="1"/>
    <col min="15061" max="15061" width="19.85546875" style="95" customWidth="1"/>
    <col min="15062" max="15062" width="7.85546875" style="95" customWidth="1"/>
    <col min="15063" max="15063" width="5.85546875" style="95" customWidth="1"/>
    <col min="15064" max="15064" width="7.140625" style="95" customWidth="1"/>
    <col min="15065" max="15065" width="8" style="95" customWidth="1"/>
    <col min="15066" max="15066" width="9.140625" style="95"/>
    <col min="15067" max="15067" width="6.140625" style="95" customWidth="1"/>
    <col min="15068" max="15070" width="8.140625" style="95" customWidth="1"/>
    <col min="15071" max="15071" width="9.140625" style="95"/>
    <col min="15072" max="15075" width="10.5703125" style="95" customWidth="1"/>
    <col min="15076" max="15079" width="10.85546875" style="95" customWidth="1"/>
    <col min="15080" max="15311" width="9.140625" style="95"/>
    <col min="15312" max="15313" width="1.140625" style="95" customWidth="1"/>
    <col min="15314" max="15314" width="36.28515625" style="95" customWidth="1"/>
    <col min="15315" max="15315" width="9" style="95" customWidth="1"/>
    <col min="15316" max="15316" width="9.140625" style="95" customWidth="1"/>
    <col min="15317" max="15317" width="19.85546875" style="95" customWidth="1"/>
    <col min="15318" max="15318" width="7.85546875" style="95" customWidth="1"/>
    <col min="15319" max="15319" width="5.85546875" style="95" customWidth="1"/>
    <col min="15320" max="15320" width="7.140625" style="95" customWidth="1"/>
    <col min="15321" max="15321" width="8" style="95" customWidth="1"/>
    <col min="15322" max="15322" width="9.140625" style="95"/>
    <col min="15323" max="15323" width="6.140625" style="95" customWidth="1"/>
    <col min="15324" max="15326" width="8.140625" style="95" customWidth="1"/>
    <col min="15327" max="15327" width="9.140625" style="95"/>
    <col min="15328" max="15331" width="10.5703125" style="95" customWidth="1"/>
    <col min="15332" max="15335" width="10.85546875" style="95" customWidth="1"/>
    <col min="15336" max="15567" width="9.140625" style="95"/>
    <col min="15568" max="15569" width="1.140625" style="95" customWidth="1"/>
    <col min="15570" max="15570" width="36.28515625" style="95" customWidth="1"/>
    <col min="15571" max="15571" width="9" style="95" customWidth="1"/>
    <col min="15572" max="15572" width="9.140625" style="95" customWidth="1"/>
    <col min="15573" max="15573" width="19.85546875" style="95" customWidth="1"/>
    <col min="15574" max="15574" width="7.85546875" style="95" customWidth="1"/>
    <col min="15575" max="15575" width="5.85546875" style="95" customWidth="1"/>
    <col min="15576" max="15576" width="7.140625" style="95" customWidth="1"/>
    <col min="15577" max="15577" width="8" style="95" customWidth="1"/>
    <col min="15578" max="15578" width="9.140625" style="95"/>
    <col min="15579" max="15579" width="6.140625" style="95" customWidth="1"/>
    <col min="15580" max="15582" width="8.140625" style="95" customWidth="1"/>
    <col min="15583" max="15583" width="9.140625" style="95"/>
    <col min="15584" max="15587" width="10.5703125" style="95" customWidth="1"/>
    <col min="15588" max="15591" width="10.85546875" style="95" customWidth="1"/>
    <col min="15592" max="15823" width="9.140625" style="95"/>
    <col min="15824" max="15825" width="1.140625" style="95" customWidth="1"/>
    <col min="15826" max="15826" width="36.28515625" style="95" customWidth="1"/>
    <col min="15827" max="15827" width="9" style="95" customWidth="1"/>
    <col min="15828" max="15828" width="9.140625" style="95" customWidth="1"/>
    <col min="15829" max="15829" width="19.85546875" style="95" customWidth="1"/>
    <col min="15830" max="15830" width="7.85546875" style="95" customWidth="1"/>
    <col min="15831" max="15831" width="5.85546875" style="95" customWidth="1"/>
    <col min="15832" max="15832" width="7.140625" style="95" customWidth="1"/>
    <col min="15833" max="15833" width="8" style="95" customWidth="1"/>
    <col min="15834" max="15834" width="9.140625" style="95"/>
    <col min="15835" max="15835" width="6.140625" style="95" customWidth="1"/>
    <col min="15836" max="15838" width="8.140625" style="95" customWidth="1"/>
    <col min="15839" max="15839" width="9.140625" style="95"/>
    <col min="15840" max="15843" width="10.5703125" style="95" customWidth="1"/>
    <col min="15844" max="15847" width="10.85546875" style="95" customWidth="1"/>
    <col min="15848" max="16079" width="9.140625" style="95"/>
    <col min="16080" max="16081" width="1.140625" style="95" customWidth="1"/>
    <col min="16082" max="16082" width="36.28515625" style="95" customWidth="1"/>
    <col min="16083" max="16083" width="9" style="95" customWidth="1"/>
    <col min="16084" max="16084" width="9.140625" style="95" customWidth="1"/>
    <col min="16085" max="16085" width="19.85546875" style="95" customWidth="1"/>
    <col min="16086" max="16086" width="7.85546875" style="95" customWidth="1"/>
    <col min="16087" max="16087" width="5.85546875" style="95" customWidth="1"/>
    <col min="16088" max="16088" width="7.140625" style="95" customWidth="1"/>
    <col min="16089" max="16089" width="8" style="95" customWidth="1"/>
    <col min="16090" max="16090" width="9.140625" style="95"/>
    <col min="16091" max="16091" width="6.140625" style="95" customWidth="1"/>
    <col min="16092" max="16094" width="8.140625" style="95" customWidth="1"/>
    <col min="16095" max="16095" width="9.140625" style="95"/>
    <col min="16096" max="16099" width="10.5703125" style="95" customWidth="1"/>
    <col min="16100" max="16103" width="10.85546875" style="95" customWidth="1"/>
    <col min="16104" max="16384" width="9.140625" style="95"/>
  </cols>
  <sheetData>
    <row r="1" spans="1:37" ht="13.5" customHeight="1" thickBot="1" x14ac:dyDescent="0.25">
      <c r="A1" s="86"/>
      <c r="B1" s="86"/>
      <c r="C1" s="86"/>
      <c r="D1" s="86"/>
      <c r="E1" s="87"/>
      <c r="F1" s="86"/>
      <c r="G1" s="88"/>
      <c r="H1" s="89"/>
      <c r="I1" s="90"/>
      <c r="J1" s="88"/>
      <c r="K1" s="89"/>
      <c r="P1" s="88"/>
      <c r="Q1" s="88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1:37" ht="21" hidden="1" customHeight="1" thickBot="1" x14ac:dyDescent="0.35">
      <c r="A2" s="86"/>
      <c r="B2" s="332" t="s">
        <v>197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96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37" s="109" customFormat="1" ht="59.25" customHeight="1" thickTop="1" thickBot="1" x14ac:dyDescent="0.25">
      <c r="A3" s="97"/>
      <c r="B3" s="333" t="s">
        <v>0</v>
      </c>
      <c r="C3" s="334"/>
      <c r="D3" s="334"/>
      <c r="E3" s="98" t="s">
        <v>1</v>
      </c>
      <c r="F3" s="99" t="s">
        <v>198</v>
      </c>
      <c r="G3" s="99" t="s">
        <v>2</v>
      </c>
      <c r="H3" s="100" t="s">
        <v>199</v>
      </c>
      <c r="I3" s="101" t="s">
        <v>200</v>
      </c>
      <c r="J3" s="99" t="s">
        <v>201</v>
      </c>
      <c r="K3" s="100" t="s">
        <v>202</v>
      </c>
      <c r="L3" s="102" t="s">
        <v>203</v>
      </c>
      <c r="M3" s="103" t="s">
        <v>204</v>
      </c>
      <c r="N3" s="102" t="s">
        <v>203</v>
      </c>
      <c r="O3" s="104" t="s">
        <v>205</v>
      </c>
      <c r="P3" s="105" t="s">
        <v>206</v>
      </c>
      <c r="Q3" s="106"/>
      <c r="R3" s="323" t="s">
        <v>207</v>
      </c>
      <c r="S3" s="324"/>
      <c r="T3" s="324"/>
      <c r="U3" s="325"/>
      <c r="V3" s="107"/>
      <c r="W3" s="323" t="s">
        <v>304</v>
      </c>
      <c r="X3" s="324"/>
      <c r="Y3" s="324"/>
      <c r="Z3" s="325"/>
      <c r="AA3" s="108"/>
      <c r="AB3" s="323" t="s">
        <v>305</v>
      </c>
      <c r="AC3" s="324"/>
      <c r="AD3" s="324"/>
      <c r="AE3" s="325"/>
      <c r="AH3" s="326" t="s">
        <v>208</v>
      </c>
      <c r="AI3" s="327"/>
      <c r="AJ3" s="327"/>
      <c r="AK3" s="328"/>
    </row>
    <row r="4" spans="1:37" s="109" customFormat="1" ht="15" customHeight="1" x14ac:dyDescent="0.2">
      <c r="A4" s="97"/>
      <c r="B4" s="110"/>
      <c r="C4" s="111"/>
      <c r="D4" s="111"/>
      <c r="E4" s="112"/>
      <c r="F4" s="113"/>
      <c r="G4" s="113"/>
      <c r="H4" s="114"/>
      <c r="I4" s="115"/>
      <c r="J4" s="113"/>
      <c r="K4" s="114"/>
      <c r="L4" s="116"/>
      <c r="M4" s="117"/>
      <c r="N4" s="118"/>
      <c r="O4" s="119">
        <v>3</v>
      </c>
      <c r="P4" s="120"/>
      <c r="Q4" s="106"/>
      <c r="R4" s="121"/>
      <c r="S4" s="122"/>
      <c r="T4" s="122"/>
      <c r="U4" s="123"/>
      <c r="V4" s="124"/>
      <c r="W4" s="121"/>
      <c r="X4" s="122"/>
      <c r="Y4" s="122"/>
      <c r="Z4" s="123"/>
      <c r="AA4" s="94"/>
      <c r="AB4" s="121"/>
      <c r="AC4" s="125"/>
      <c r="AD4" s="125"/>
      <c r="AE4" s="126"/>
      <c r="AH4" s="127"/>
      <c r="AI4" s="128"/>
      <c r="AJ4" s="128"/>
      <c r="AK4" s="129"/>
    </row>
    <row r="5" spans="1:37" s="109" customFormat="1" ht="15" customHeight="1" x14ac:dyDescent="0.2">
      <c r="A5" s="97"/>
      <c r="B5" s="329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1"/>
      <c r="Q5" s="130"/>
      <c r="R5" s="131"/>
      <c r="S5" s="132"/>
      <c r="T5" s="132"/>
      <c r="U5" s="133"/>
      <c r="V5" s="124"/>
      <c r="W5" s="134"/>
      <c r="X5" s="135"/>
      <c r="Y5" s="135"/>
      <c r="Z5" s="133"/>
      <c r="AA5" s="94"/>
      <c r="AB5" s="134"/>
      <c r="AC5" s="136"/>
      <c r="AD5" s="136"/>
      <c r="AE5" s="137"/>
      <c r="AH5" s="127"/>
      <c r="AI5" s="128"/>
      <c r="AJ5" s="128"/>
      <c r="AK5" s="129"/>
    </row>
    <row r="6" spans="1:37" ht="26.25" thickBot="1" x14ac:dyDescent="0.25">
      <c r="A6" s="86"/>
      <c r="B6" s="138" t="s">
        <v>6</v>
      </c>
      <c r="C6" s="139"/>
      <c r="D6" s="139"/>
      <c r="E6" s="140"/>
      <c r="F6" s="141"/>
      <c r="G6" s="142"/>
      <c r="H6" s="143"/>
      <c r="I6" s="144"/>
      <c r="J6" s="145"/>
      <c r="K6" s="146"/>
      <c r="L6" s="147"/>
      <c r="M6" s="148"/>
      <c r="N6" s="149"/>
      <c r="O6" s="150"/>
      <c r="P6" s="151"/>
      <c r="Q6" s="152"/>
      <c r="R6" s="153" t="s">
        <v>209</v>
      </c>
      <c r="S6" s="154" t="s">
        <v>210</v>
      </c>
      <c r="T6" s="154" t="s">
        <v>211</v>
      </c>
      <c r="U6" s="155" t="s">
        <v>212</v>
      </c>
      <c r="V6" s="156"/>
      <c r="W6" s="153" t="s">
        <v>209</v>
      </c>
      <c r="X6" s="154" t="s">
        <v>210</v>
      </c>
      <c r="Y6" s="154" t="s">
        <v>211</v>
      </c>
      <c r="Z6" s="155" t="s">
        <v>212</v>
      </c>
      <c r="AA6" s="155" t="s">
        <v>310</v>
      </c>
      <c r="AB6" s="153" t="s">
        <v>209</v>
      </c>
      <c r="AC6" s="154" t="s">
        <v>210</v>
      </c>
      <c r="AD6" s="154" t="s">
        <v>211</v>
      </c>
      <c r="AE6" s="155" t="s">
        <v>212</v>
      </c>
      <c r="AH6" s="157" t="s">
        <v>209</v>
      </c>
      <c r="AI6" s="158" t="s">
        <v>210</v>
      </c>
      <c r="AJ6" s="158" t="s">
        <v>211</v>
      </c>
      <c r="AK6" s="159" t="s">
        <v>212</v>
      </c>
    </row>
    <row r="7" spans="1:37" x14ac:dyDescent="0.2">
      <c r="A7" s="86"/>
      <c r="B7" s="161" t="s">
        <v>7</v>
      </c>
      <c r="C7" s="160"/>
      <c r="E7" s="162" t="s">
        <v>8</v>
      </c>
      <c r="F7" s="163" t="s">
        <v>213</v>
      </c>
      <c r="G7" s="164" t="s">
        <v>13</v>
      </c>
      <c r="H7" s="165">
        <v>1.87</v>
      </c>
      <c r="I7" s="166"/>
      <c r="J7" s="167"/>
      <c r="K7" s="168">
        <f>ROUND(H7*(1-I7),2)</f>
        <v>1.87</v>
      </c>
      <c r="L7" s="168">
        <v>12.89</v>
      </c>
      <c r="M7" s="169">
        <v>0.5</v>
      </c>
      <c r="N7" s="170">
        <f>ROUNDDOWN(L7*M7,2)</f>
        <v>6.44</v>
      </c>
      <c r="O7" s="170">
        <f>MIN(2*$O$4,N7)</f>
        <v>6</v>
      </c>
      <c r="P7" s="171">
        <f>ROUND(O7*$K7,2)</f>
        <v>11.22</v>
      </c>
      <c r="Q7" s="172"/>
      <c r="R7" s="173">
        <f>2*$P$7*AH$7</f>
        <v>22821.48</v>
      </c>
      <c r="S7" s="174">
        <f>2*$P$7*AI$7</f>
        <v>17525.64</v>
      </c>
      <c r="T7" s="174">
        <f>2*$P$7*AJ$7</f>
        <v>15820.2</v>
      </c>
      <c r="U7" s="175">
        <f>2*$P$7*AK$7</f>
        <v>23023.440000000002</v>
      </c>
      <c r="V7" s="124"/>
      <c r="W7" s="173">
        <f>$P$7*AH$7</f>
        <v>11410.74</v>
      </c>
      <c r="X7" s="174">
        <f t="shared" ref="X7:Z7" si="0">$P$7*AI$7</f>
        <v>8762.82</v>
      </c>
      <c r="Y7" s="174">
        <f t="shared" si="0"/>
        <v>7910.1</v>
      </c>
      <c r="Z7" s="175">
        <f t="shared" si="0"/>
        <v>11511.720000000001</v>
      </c>
      <c r="AA7" s="199" t="s">
        <v>307</v>
      </c>
      <c r="AB7" s="173">
        <f>$P7*$AH$8</f>
        <v>11410.74</v>
      </c>
      <c r="AC7" s="176">
        <f>$P7*$AI$8</f>
        <v>8762.82</v>
      </c>
      <c r="AD7" s="176">
        <f>$P7*$AJ$8</f>
        <v>7910.1</v>
      </c>
      <c r="AE7" s="177">
        <f>$P7*$AK$8</f>
        <v>11511.720000000001</v>
      </c>
      <c r="AG7" s="95" t="s">
        <v>214</v>
      </c>
      <c r="AH7" s="178">
        <f>[2]MaxFee!D27</f>
        <v>1017</v>
      </c>
      <c r="AI7" s="178">
        <f>[2]MaxFee!E27</f>
        <v>781</v>
      </c>
      <c r="AJ7" s="178">
        <f>[2]MaxFee!F27</f>
        <v>705</v>
      </c>
      <c r="AK7" s="178">
        <f>[2]MaxFee!G27</f>
        <v>1026</v>
      </c>
    </row>
    <row r="8" spans="1:37" ht="13.5" thickBot="1" x14ac:dyDescent="0.25">
      <c r="A8" s="86"/>
      <c r="B8" s="180" t="s">
        <v>215</v>
      </c>
      <c r="C8" s="179"/>
      <c r="E8" s="181" t="s">
        <v>216</v>
      </c>
      <c r="F8" s="182" t="s">
        <v>213</v>
      </c>
      <c r="G8" s="183" t="s">
        <v>217</v>
      </c>
      <c r="H8" s="184">
        <v>0.43</v>
      </c>
      <c r="I8" s="185"/>
      <c r="J8" s="186"/>
      <c r="K8" s="187">
        <f>ROUND(H8*(1-I8),2)</f>
        <v>0.43</v>
      </c>
      <c r="L8" s="187">
        <v>12.89</v>
      </c>
      <c r="M8" s="188">
        <v>0.5</v>
      </c>
      <c r="N8" s="189">
        <f>ROUNDDOWN(L8*M8,2)</f>
        <v>6.44</v>
      </c>
      <c r="O8" s="189">
        <f>MIN(2*$O$4,N8)</f>
        <v>6</v>
      </c>
      <c r="P8" s="190">
        <f t="shared" ref="P8:P71" si="1">ROUND(O8*$K8,2)</f>
        <v>2.58</v>
      </c>
      <c r="Q8" s="172"/>
      <c r="R8" s="173">
        <f>2*$P8*AH$7</f>
        <v>5247.72</v>
      </c>
      <c r="S8" s="174">
        <f>2*$P8*AI$7</f>
        <v>4029.96</v>
      </c>
      <c r="T8" s="174">
        <f>2*$P8*AJ$7</f>
        <v>3637.8</v>
      </c>
      <c r="U8" s="175">
        <f>2*$P8*AK$7</f>
        <v>5294.16</v>
      </c>
      <c r="V8" s="124"/>
      <c r="W8" s="173">
        <f>$P8*AH$7</f>
        <v>2623.86</v>
      </c>
      <c r="X8" s="174">
        <f>$P8*AI$7</f>
        <v>2014.98</v>
      </c>
      <c r="Y8" s="174">
        <f>$P8*AJ$7</f>
        <v>1818.9</v>
      </c>
      <c r="Z8" s="175">
        <f>$P8*AK$7</f>
        <v>2647.08</v>
      </c>
      <c r="AA8" s="199" t="s">
        <v>307</v>
      </c>
      <c r="AB8" s="191">
        <f t="shared" ref="AB8:AB71" si="2">$P8*$AH$8</f>
        <v>2623.86</v>
      </c>
      <c r="AC8" s="192">
        <f t="shared" ref="AC8:AC71" si="3">$P8*$AI$8</f>
        <v>2014.98</v>
      </c>
      <c r="AD8" s="192">
        <f t="shared" ref="AD8:AD71" si="4">$P8*$AJ$8</f>
        <v>1818.9</v>
      </c>
      <c r="AE8" s="193">
        <f t="shared" ref="AE8:AE71" si="5">$P8*$AK$8</f>
        <v>2647.08</v>
      </c>
      <c r="AG8" s="95" t="s">
        <v>218</v>
      </c>
      <c r="AH8" s="178">
        <v>1017</v>
      </c>
      <c r="AI8" s="178">
        <v>781</v>
      </c>
      <c r="AJ8" s="178">
        <v>705</v>
      </c>
      <c r="AK8" s="178">
        <v>1026</v>
      </c>
    </row>
    <row r="9" spans="1:37" x14ac:dyDescent="0.2">
      <c r="A9" s="86"/>
      <c r="B9" s="138" t="s">
        <v>10</v>
      </c>
      <c r="C9" s="139"/>
      <c r="D9" s="289"/>
      <c r="E9" s="140"/>
      <c r="F9" s="141"/>
      <c r="G9" s="142"/>
      <c r="H9" s="143"/>
      <c r="I9" s="144"/>
      <c r="J9" s="145"/>
      <c r="K9" s="146"/>
      <c r="L9" s="147"/>
      <c r="M9" s="148"/>
      <c r="N9" s="149"/>
      <c r="O9" s="150"/>
      <c r="P9" s="151"/>
      <c r="Q9" s="172"/>
      <c r="R9" s="194"/>
      <c r="S9" s="195"/>
      <c r="T9" s="195"/>
      <c r="U9" s="196"/>
      <c r="V9" s="124"/>
      <c r="W9" s="194"/>
      <c r="X9" s="195"/>
      <c r="Y9" s="195"/>
      <c r="Z9" s="196"/>
      <c r="AA9" s="199" t="s">
        <v>307</v>
      </c>
      <c r="AB9" s="194"/>
      <c r="AC9" s="195"/>
      <c r="AD9" s="195"/>
      <c r="AE9" s="196"/>
    </row>
    <row r="10" spans="1:37" x14ac:dyDescent="0.2">
      <c r="A10" s="86"/>
      <c r="B10" s="161" t="s">
        <v>11</v>
      </c>
      <c r="D10" s="287"/>
      <c r="E10" s="162" t="s">
        <v>12</v>
      </c>
      <c r="F10" s="163" t="s">
        <v>219</v>
      </c>
      <c r="G10" s="164" t="s">
        <v>13</v>
      </c>
      <c r="H10" s="165">
        <v>0.63</v>
      </c>
      <c r="I10" s="166"/>
      <c r="J10" s="167"/>
      <c r="K10" s="168">
        <f t="shared" ref="K10:K15" si="6">ROUND(H10*(1-I10),2)</f>
        <v>0.63</v>
      </c>
      <c r="L10" s="168">
        <v>12.89</v>
      </c>
      <c r="M10" s="169">
        <v>0.5</v>
      </c>
      <c r="N10" s="170">
        <f t="shared" ref="N10:N15" si="7">ROUND(L10*M10,2)</f>
        <v>6.45</v>
      </c>
      <c r="O10" s="197">
        <f>MIN(2*$O$4,N10)</f>
        <v>6</v>
      </c>
      <c r="P10" s="198">
        <f t="shared" si="1"/>
        <v>3.78</v>
      </c>
      <c r="Q10" s="172"/>
      <c r="R10" s="199">
        <f t="shared" ref="R10:U72" si="8">2*$P10*AH$7</f>
        <v>7688.5199999999995</v>
      </c>
      <c r="S10" s="176">
        <f t="shared" si="8"/>
        <v>5904.36</v>
      </c>
      <c r="T10" s="176">
        <f t="shared" si="8"/>
        <v>5329.7999999999993</v>
      </c>
      <c r="U10" s="177">
        <f t="shared" si="8"/>
        <v>7756.5599999999995</v>
      </c>
      <c r="V10" s="200"/>
      <c r="W10" s="199">
        <f t="shared" ref="W10:Z72" si="9">$P10*AH$7</f>
        <v>3844.2599999999998</v>
      </c>
      <c r="X10" s="176">
        <f t="shared" si="9"/>
        <v>2952.18</v>
      </c>
      <c r="Y10" s="176">
        <f t="shared" si="9"/>
        <v>2664.8999999999996</v>
      </c>
      <c r="Z10" s="177">
        <f t="shared" si="9"/>
        <v>3878.2799999999997</v>
      </c>
      <c r="AA10" s="199" t="s">
        <v>307</v>
      </c>
      <c r="AB10" s="199">
        <f t="shared" si="2"/>
        <v>3844.2599999999998</v>
      </c>
      <c r="AC10" s="176">
        <f t="shared" si="3"/>
        <v>2952.18</v>
      </c>
      <c r="AD10" s="176">
        <f t="shared" si="4"/>
        <v>2664.8999999999996</v>
      </c>
      <c r="AE10" s="177">
        <f t="shared" si="5"/>
        <v>3878.2799999999997</v>
      </c>
    </row>
    <row r="11" spans="1:37" x14ac:dyDescent="0.2">
      <c r="A11" s="86"/>
      <c r="B11" s="161" t="s">
        <v>14</v>
      </c>
      <c r="E11" s="201">
        <v>130</v>
      </c>
      <c r="F11" s="163"/>
      <c r="G11" s="164" t="s">
        <v>13</v>
      </c>
      <c r="H11" s="165">
        <v>0.4</v>
      </c>
      <c r="I11" s="166"/>
      <c r="J11" s="167"/>
      <c r="K11" s="168">
        <f t="shared" si="6"/>
        <v>0.4</v>
      </c>
      <c r="L11" s="168">
        <v>12.89</v>
      </c>
      <c r="M11" s="169">
        <v>0.5</v>
      </c>
      <c r="N11" s="170">
        <f t="shared" si="7"/>
        <v>6.45</v>
      </c>
      <c r="O11" s="197">
        <f t="shared" ref="O11:O15" si="10">MIN(2*$O$4,N11)</f>
        <v>6</v>
      </c>
      <c r="P11" s="198">
        <f t="shared" si="1"/>
        <v>2.4</v>
      </c>
      <c r="Q11" s="172"/>
      <c r="R11" s="199">
        <f t="shared" si="8"/>
        <v>4881.5999999999995</v>
      </c>
      <c r="S11" s="176">
        <f t="shared" si="8"/>
        <v>3748.7999999999997</v>
      </c>
      <c r="T11" s="176">
        <f t="shared" si="8"/>
        <v>3384</v>
      </c>
      <c r="U11" s="177">
        <f t="shared" si="8"/>
        <v>4924.8</v>
      </c>
      <c r="V11" s="200"/>
      <c r="W11" s="199">
        <f t="shared" si="9"/>
        <v>2440.7999999999997</v>
      </c>
      <c r="X11" s="176">
        <f t="shared" si="9"/>
        <v>1874.3999999999999</v>
      </c>
      <c r="Y11" s="176">
        <f t="shared" si="9"/>
        <v>1692</v>
      </c>
      <c r="Z11" s="177">
        <f t="shared" si="9"/>
        <v>2462.4</v>
      </c>
      <c r="AA11" s="199" t="s">
        <v>307</v>
      </c>
      <c r="AB11" s="199">
        <f t="shared" si="2"/>
        <v>2440.7999999999997</v>
      </c>
      <c r="AC11" s="176">
        <f t="shared" si="3"/>
        <v>1874.3999999999999</v>
      </c>
      <c r="AD11" s="176">
        <f t="shared" si="4"/>
        <v>1692</v>
      </c>
      <c r="AE11" s="177">
        <f t="shared" si="5"/>
        <v>2462.4</v>
      </c>
    </row>
    <row r="12" spans="1:37" x14ac:dyDescent="0.2">
      <c r="A12" s="86"/>
      <c r="B12" s="161" t="s">
        <v>185</v>
      </c>
      <c r="E12" s="162" t="s">
        <v>186</v>
      </c>
      <c r="F12" s="163" t="s">
        <v>220</v>
      </c>
      <c r="G12" s="164" t="s">
        <v>13</v>
      </c>
      <c r="H12" s="165">
        <v>0.67</v>
      </c>
      <c r="I12" s="166"/>
      <c r="J12" s="167"/>
      <c r="K12" s="168">
        <f t="shared" si="6"/>
        <v>0.67</v>
      </c>
      <c r="L12" s="168">
        <v>12.89</v>
      </c>
      <c r="M12" s="169">
        <v>0.5</v>
      </c>
      <c r="N12" s="170">
        <f t="shared" si="7"/>
        <v>6.45</v>
      </c>
      <c r="O12" s="197">
        <f t="shared" si="10"/>
        <v>6</v>
      </c>
      <c r="P12" s="198">
        <f t="shared" si="1"/>
        <v>4.0199999999999996</v>
      </c>
      <c r="Q12" s="172"/>
      <c r="R12" s="199">
        <f t="shared" si="8"/>
        <v>8176.6799999999994</v>
      </c>
      <c r="S12" s="176">
        <f t="shared" si="8"/>
        <v>6279.24</v>
      </c>
      <c r="T12" s="176">
        <f t="shared" si="8"/>
        <v>5668.2</v>
      </c>
      <c r="U12" s="177">
        <f t="shared" si="8"/>
        <v>8249.0399999999991</v>
      </c>
      <c r="V12" s="200"/>
      <c r="W12" s="199">
        <f t="shared" si="9"/>
        <v>4088.3399999999997</v>
      </c>
      <c r="X12" s="176">
        <f t="shared" si="9"/>
        <v>3139.62</v>
      </c>
      <c r="Y12" s="176">
        <f t="shared" si="9"/>
        <v>2834.1</v>
      </c>
      <c r="Z12" s="177">
        <f t="shared" si="9"/>
        <v>4124.5199999999995</v>
      </c>
      <c r="AA12" s="199" t="s">
        <v>307</v>
      </c>
      <c r="AB12" s="199">
        <f t="shared" si="2"/>
        <v>4088.3399999999997</v>
      </c>
      <c r="AC12" s="176">
        <f t="shared" si="3"/>
        <v>3139.62</v>
      </c>
      <c r="AD12" s="176">
        <f t="shared" si="4"/>
        <v>2834.1</v>
      </c>
      <c r="AE12" s="177">
        <f t="shared" si="5"/>
        <v>4124.5199999999995</v>
      </c>
    </row>
    <row r="13" spans="1:37" x14ac:dyDescent="0.2">
      <c r="A13" s="86"/>
      <c r="B13" s="161" t="s">
        <v>15</v>
      </c>
      <c r="E13" s="162" t="s">
        <v>16</v>
      </c>
      <c r="F13" s="163" t="s">
        <v>221</v>
      </c>
      <c r="G13" s="164" t="s">
        <v>13</v>
      </c>
      <c r="H13" s="165">
        <v>0.19</v>
      </c>
      <c r="I13" s="166"/>
      <c r="J13" s="167"/>
      <c r="K13" s="168">
        <f t="shared" si="6"/>
        <v>0.19</v>
      </c>
      <c r="L13" s="168">
        <v>12.89</v>
      </c>
      <c r="M13" s="169">
        <v>0.5</v>
      </c>
      <c r="N13" s="170">
        <f t="shared" si="7"/>
        <v>6.45</v>
      </c>
      <c r="O13" s="197">
        <f t="shared" si="10"/>
        <v>6</v>
      </c>
      <c r="P13" s="198">
        <f t="shared" si="1"/>
        <v>1.1399999999999999</v>
      </c>
      <c r="Q13" s="172"/>
      <c r="R13" s="199">
        <f t="shared" si="8"/>
        <v>2318.7599999999998</v>
      </c>
      <c r="S13" s="176">
        <f t="shared" si="8"/>
        <v>1780.6799999999998</v>
      </c>
      <c r="T13" s="176">
        <f t="shared" si="8"/>
        <v>1607.3999999999999</v>
      </c>
      <c r="U13" s="177">
        <f t="shared" si="8"/>
        <v>2339.2799999999997</v>
      </c>
      <c r="V13" s="200"/>
      <c r="W13" s="199">
        <f t="shared" si="9"/>
        <v>1159.3799999999999</v>
      </c>
      <c r="X13" s="176">
        <f t="shared" si="9"/>
        <v>890.33999999999992</v>
      </c>
      <c r="Y13" s="176">
        <f t="shared" si="9"/>
        <v>803.69999999999993</v>
      </c>
      <c r="Z13" s="177">
        <f t="shared" si="9"/>
        <v>1169.6399999999999</v>
      </c>
      <c r="AA13" s="199" t="s">
        <v>307</v>
      </c>
      <c r="AB13" s="199">
        <f t="shared" si="2"/>
        <v>1159.3799999999999</v>
      </c>
      <c r="AC13" s="176">
        <f t="shared" si="3"/>
        <v>890.33999999999992</v>
      </c>
      <c r="AD13" s="176">
        <f t="shared" si="4"/>
        <v>803.69999999999993</v>
      </c>
      <c r="AE13" s="177">
        <f t="shared" si="5"/>
        <v>1169.6399999999999</v>
      </c>
    </row>
    <row r="14" spans="1:37" x14ac:dyDescent="0.2">
      <c r="A14" s="86"/>
      <c r="B14" s="161" t="s">
        <v>17</v>
      </c>
      <c r="E14" s="162" t="s">
        <v>18</v>
      </c>
      <c r="F14" s="163" t="s">
        <v>222</v>
      </c>
      <c r="G14" s="164" t="s">
        <v>13</v>
      </c>
      <c r="H14" s="165">
        <v>0.17</v>
      </c>
      <c r="I14" s="166"/>
      <c r="J14" s="167"/>
      <c r="K14" s="168">
        <f t="shared" si="6"/>
        <v>0.17</v>
      </c>
      <c r="L14" s="168">
        <v>12.89</v>
      </c>
      <c r="M14" s="169">
        <v>0.5</v>
      </c>
      <c r="N14" s="170">
        <f t="shared" si="7"/>
        <v>6.45</v>
      </c>
      <c r="O14" s="170">
        <f t="shared" si="10"/>
        <v>6</v>
      </c>
      <c r="P14" s="171">
        <f t="shared" si="1"/>
        <v>1.02</v>
      </c>
      <c r="Q14" s="172"/>
      <c r="R14" s="199">
        <f t="shared" si="8"/>
        <v>2074.6799999999998</v>
      </c>
      <c r="S14" s="176">
        <f t="shared" si="8"/>
        <v>1593.24</v>
      </c>
      <c r="T14" s="176">
        <f t="shared" si="8"/>
        <v>1438.2</v>
      </c>
      <c r="U14" s="177">
        <f t="shared" si="8"/>
        <v>2093.04</v>
      </c>
      <c r="V14" s="200"/>
      <c r="W14" s="199">
        <f t="shared" si="9"/>
        <v>1037.3399999999999</v>
      </c>
      <c r="X14" s="176">
        <f t="shared" si="9"/>
        <v>796.62</v>
      </c>
      <c r="Y14" s="176">
        <f t="shared" si="9"/>
        <v>719.1</v>
      </c>
      <c r="Z14" s="177">
        <f t="shared" si="9"/>
        <v>1046.52</v>
      </c>
      <c r="AA14" s="199" t="s">
        <v>307</v>
      </c>
      <c r="AB14" s="199">
        <f t="shared" si="2"/>
        <v>1037.3399999999999</v>
      </c>
      <c r="AC14" s="176">
        <f t="shared" si="3"/>
        <v>796.62</v>
      </c>
      <c r="AD14" s="176">
        <f t="shared" si="4"/>
        <v>719.1</v>
      </c>
      <c r="AE14" s="177">
        <f t="shared" si="5"/>
        <v>1046.52</v>
      </c>
    </row>
    <row r="15" spans="1:37" ht="13.5" thickBot="1" x14ac:dyDescent="0.25">
      <c r="A15" s="86"/>
      <c r="B15" s="180" t="s">
        <v>223</v>
      </c>
      <c r="E15" s="181" t="s">
        <v>224</v>
      </c>
      <c r="F15" s="182" t="s">
        <v>222</v>
      </c>
      <c r="G15" s="183" t="s">
        <v>13</v>
      </c>
      <c r="H15" s="184">
        <v>0.09</v>
      </c>
      <c r="I15" s="185"/>
      <c r="J15" s="186"/>
      <c r="K15" s="187">
        <f t="shared" si="6"/>
        <v>0.09</v>
      </c>
      <c r="L15" s="187">
        <v>12.89</v>
      </c>
      <c r="M15" s="188">
        <v>0.5</v>
      </c>
      <c r="N15" s="189">
        <f t="shared" si="7"/>
        <v>6.45</v>
      </c>
      <c r="O15" s="189">
        <f t="shared" si="10"/>
        <v>6</v>
      </c>
      <c r="P15" s="190">
        <f t="shared" si="1"/>
        <v>0.54</v>
      </c>
      <c r="Q15" s="172"/>
      <c r="R15" s="202">
        <f t="shared" si="8"/>
        <v>1098.3600000000001</v>
      </c>
      <c r="S15" s="203">
        <f t="shared" si="8"/>
        <v>843.48</v>
      </c>
      <c r="T15" s="203">
        <f t="shared" si="8"/>
        <v>761.40000000000009</v>
      </c>
      <c r="U15" s="204">
        <f t="shared" si="8"/>
        <v>1108.0800000000002</v>
      </c>
      <c r="V15" s="200"/>
      <c r="W15" s="202">
        <f t="shared" si="9"/>
        <v>549.18000000000006</v>
      </c>
      <c r="X15" s="203">
        <f t="shared" si="9"/>
        <v>421.74</v>
      </c>
      <c r="Y15" s="203">
        <f t="shared" si="9"/>
        <v>380.70000000000005</v>
      </c>
      <c r="Z15" s="204">
        <f t="shared" si="9"/>
        <v>554.04000000000008</v>
      </c>
      <c r="AA15" s="199" t="s">
        <v>307</v>
      </c>
      <c r="AB15" s="202">
        <f t="shared" si="2"/>
        <v>549.18000000000006</v>
      </c>
      <c r="AC15" s="203">
        <f t="shared" si="3"/>
        <v>421.74</v>
      </c>
      <c r="AD15" s="203">
        <f t="shared" si="4"/>
        <v>380.70000000000005</v>
      </c>
      <c r="AE15" s="204">
        <f t="shared" si="5"/>
        <v>554.04000000000008</v>
      </c>
    </row>
    <row r="16" spans="1:37" x14ac:dyDescent="0.2">
      <c r="A16" s="86"/>
      <c r="B16" s="205" t="s">
        <v>19</v>
      </c>
      <c r="C16" s="246"/>
      <c r="D16" s="247"/>
      <c r="E16" s="208"/>
      <c r="F16" s="141"/>
      <c r="G16" s="142"/>
      <c r="H16" s="143"/>
      <c r="I16" s="144"/>
      <c r="J16" s="145"/>
      <c r="K16" s="147"/>
      <c r="L16" s="147"/>
      <c r="M16" s="148"/>
      <c r="N16" s="149"/>
      <c r="O16" s="209"/>
      <c r="P16" s="210"/>
      <c r="Q16" s="172"/>
      <c r="R16" s="211"/>
      <c r="S16" s="212"/>
      <c r="T16" s="212"/>
      <c r="U16" s="213"/>
      <c r="V16" s="200"/>
      <c r="W16" s="211"/>
      <c r="X16" s="212"/>
      <c r="Y16" s="212"/>
      <c r="Z16" s="213"/>
      <c r="AA16" s="199" t="s">
        <v>307</v>
      </c>
      <c r="AB16" s="211"/>
      <c r="AC16" s="212"/>
      <c r="AD16" s="212"/>
      <c r="AE16" s="213"/>
    </row>
    <row r="17" spans="1:31" x14ac:dyDescent="0.2">
      <c r="A17" s="86"/>
      <c r="B17" s="295" t="s">
        <v>20</v>
      </c>
      <c r="C17" s="206"/>
      <c r="D17" s="287"/>
      <c r="E17" s="208" t="s">
        <v>21</v>
      </c>
      <c r="F17" s="141" t="s">
        <v>225</v>
      </c>
      <c r="G17" s="142" t="s">
        <v>22</v>
      </c>
      <c r="H17" s="143">
        <v>0.99</v>
      </c>
      <c r="I17" s="144"/>
      <c r="J17" s="145"/>
      <c r="K17" s="147">
        <f t="shared" ref="K17:K24" si="11">ROUND(H17*(1-I17),2)</f>
        <v>0.99</v>
      </c>
      <c r="L17" s="147">
        <v>6.2</v>
      </c>
      <c r="M17" s="148">
        <v>0.5</v>
      </c>
      <c r="N17" s="149">
        <f t="shared" ref="N17:N24" si="12">ROUND(L17*M17,2)</f>
        <v>3.1</v>
      </c>
      <c r="O17" s="197">
        <f t="shared" ref="O17:O24" si="13">MIN($O$4,N17)</f>
        <v>3</v>
      </c>
      <c r="P17" s="198">
        <f t="shared" si="1"/>
        <v>2.97</v>
      </c>
      <c r="Q17" s="172"/>
      <c r="R17" s="199">
        <f t="shared" si="8"/>
        <v>6040.9800000000005</v>
      </c>
      <c r="S17" s="176">
        <f t="shared" si="8"/>
        <v>4639.1400000000003</v>
      </c>
      <c r="T17" s="176">
        <f t="shared" si="8"/>
        <v>4187.7000000000007</v>
      </c>
      <c r="U17" s="177">
        <f t="shared" si="8"/>
        <v>6094.4400000000005</v>
      </c>
      <c r="V17" s="200"/>
      <c r="W17" s="199" t="s">
        <v>307</v>
      </c>
      <c r="X17" s="199" t="s">
        <v>307</v>
      </c>
      <c r="Y17" s="199" t="s">
        <v>307</v>
      </c>
      <c r="Z17" s="199" t="s">
        <v>307</v>
      </c>
      <c r="AA17" s="199" t="s">
        <v>307</v>
      </c>
      <c r="AB17" s="199">
        <f>$P17*$AH$8*0.75</f>
        <v>2265.3675000000003</v>
      </c>
      <c r="AC17" s="176">
        <f>$P17*$AI$8*0.75</f>
        <v>1739.6775000000002</v>
      </c>
      <c r="AD17" s="176">
        <f>$P17*$AJ$8*0.75</f>
        <v>1570.3875000000003</v>
      </c>
      <c r="AE17" s="177">
        <f>$P17*$AK$8*0.75</f>
        <v>2285.415</v>
      </c>
    </row>
    <row r="18" spans="1:31" x14ac:dyDescent="0.2">
      <c r="A18" s="86"/>
      <c r="B18" s="161" t="s">
        <v>226</v>
      </c>
      <c r="C18" s="160"/>
      <c r="D18" s="287"/>
      <c r="E18" s="162" t="s">
        <v>23</v>
      </c>
      <c r="F18" s="163" t="s">
        <v>227</v>
      </c>
      <c r="G18" s="164" t="s">
        <v>22</v>
      </c>
      <c r="H18" s="165">
        <v>0.56000000000000005</v>
      </c>
      <c r="I18" s="166"/>
      <c r="J18" s="167"/>
      <c r="K18" s="168">
        <f t="shared" si="11"/>
        <v>0.56000000000000005</v>
      </c>
      <c r="L18" s="168">
        <v>6.2</v>
      </c>
      <c r="M18" s="169">
        <v>0.5</v>
      </c>
      <c r="N18" s="170">
        <f t="shared" si="12"/>
        <v>3.1</v>
      </c>
      <c r="O18" s="197">
        <f t="shared" si="13"/>
        <v>3</v>
      </c>
      <c r="P18" s="198">
        <f t="shared" si="1"/>
        <v>1.68</v>
      </c>
      <c r="Q18" s="172"/>
      <c r="R18" s="199">
        <f t="shared" si="8"/>
        <v>3417.12</v>
      </c>
      <c r="S18" s="176">
        <f t="shared" si="8"/>
        <v>2624.16</v>
      </c>
      <c r="T18" s="176">
        <f t="shared" si="8"/>
        <v>2368.7999999999997</v>
      </c>
      <c r="U18" s="177">
        <f t="shared" si="8"/>
        <v>3447.3599999999997</v>
      </c>
      <c r="V18" s="200"/>
      <c r="W18" s="199" t="s">
        <v>307</v>
      </c>
      <c r="X18" s="199" t="s">
        <v>307</v>
      </c>
      <c r="Y18" s="199" t="s">
        <v>307</v>
      </c>
      <c r="Z18" s="199" t="s">
        <v>307</v>
      </c>
      <c r="AA18" s="199" t="s">
        <v>307</v>
      </c>
      <c r="AB18" s="199">
        <f>$P18*$AH$8*0.75</f>
        <v>1281.42</v>
      </c>
      <c r="AC18" s="176">
        <f>$P18*$AI$8*0.75</f>
        <v>984.06</v>
      </c>
      <c r="AD18" s="176">
        <f>$P18*$AJ$8*0.75</f>
        <v>888.3</v>
      </c>
      <c r="AE18" s="177">
        <f>$P18*$AK$8*0.75</f>
        <v>1292.7599999999998</v>
      </c>
    </row>
    <row r="19" spans="1:31" x14ac:dyDescent="0.2">
      <c r="A19" s="86"/>
      <c r="B19" s="161" t="s">
        <v>228</v>
      </c>
      <c r="C19" s="160"/>
      <c r="D19" s="287"/>
      <c r="E19" s="162" t="s">
        <v>179</v>
      </c>
      <c r="F19" s="163" t="s">
        <v>229</v>
      </c>
      <c r="G19" s="164" t="s">
        <v>22</v>
      </c>
      <c r="H19" s="165">
        <v>0.44</v>
      </c>
      <c r="I19" s="166"/>
      <c r="J19" s="167"/>
      <c r="K19" s="168">
        <f t="shared" si="11"/>
        <v>0.44</v>
      </c>
      <c r="L19" s="168">
        <v>6.2</v>
      </c>
      <c r="M19" s="169">
        <v>0.5</v>
      </c>
      <c r="N19" s="170">
        <f t="shared" si="12"/>
        <v>3.1</v>
      </c>
      <c r="O19" s="197">
        <f t="shared" si="13"/>
        <v>3</v>
      </c>
      <c r="P19" s="198">
        <f t="shared" si="1"/>
        <v>1.32</v>
      </c>
      <c r="Q19" s="172"/>
      <c r="R19" s="199">
        <f t="shared" si="8"/>
        <v>2684.88</v>
      </c>
      <c r="S19" s="176">
        <f t="shared" si="8"/>
        <v>2061.84</v>
      </c>
      <c r="T19" s="176">
        <f t="shared" si="8"/>
        <v>1861.2</v>
      </c>
      <c r="U19" s="177">
        <f t="shared" si="8"/>
        <v>2708.6400000000003</v>
      </c>
      <c r="V19" s="200"/>
      <c r="W19" s="199">
        <f t="shared" si="9"/>
        <v>1342.44</v>
      </c>
      <c r="X19" s="176">
        <f t="shared" si="9"/>
        <v>1030.92</v>
      </c>
      <c r="Y19" s="176">
        <f t="shared" si="9"/>
        <v>930.6</v>
      </c>
      <c r="Z19" s="177">
        <f t="shared" si="9"/>
        <v>1354.3200000000002</v>
      </c>
      <c r="AA19" s="199" t="s">
        <v>307</v>
      </c>
      <c r="AB19" s="199">
        <f t="shared" si="2"/>
        <v>1342.44</v>
      </c>
      <c r="AC19" s="176">
        <f t="shared" si="3"/>
        <v>1030.92</v>
      </c>
      <c r="AD19" s="176">
        <f t="shared" si="4"/>
        <v>930.6</v>
      </c>
      <c r="AE19" s="177">
        <f t="shared" si="5"/>
        <v>1354.3200000000002</v>
      </c>
    </row>
    <row r="20" spans="1:31" x14ac:dyDescent="0.2">
      <c r="A20" s="86"/>
      <c r="B20" s="161" t="s">
        <v>230</v>
      </c>
      <c r="C20" s="160"/>
      <c r="D20" s="287"/>
      <c r="E20" s="162" t="s">
        <v>180</v>
      </c>
      <c r="F20" s="163" t="s">
        <v>231</v>
      </c>
      <c r="G20" s="164" t="s">
        <v>22</v>
      </c>
      <c r="H20" s="165">
        <v>0.36</v>
      </c>
      <c r="I20" s="166"/>
      <c r="J20" s="167"/>
      <c r="K20" s="168">
        <f t="shared" si="11"/>
        <v>0.36</v>
      </c>
      <c r="L20" s="168">
        <v>6.2</v>
      </c>
      <c r="M20" s="169">
        <v>0.5</v>
      </c>
      <c r="N20" s="170">
        <f t="shared" si="12"/>
        <v>3.1</v>
      </c>
      <c r="O20" s="197">
        <f t="shared" si="13"/>
        <v>3</v>
      </c>
      <c r="P20" s="198">
        <f t="shared" si="1"/>
        <v>1.08</v>
      </c>
      <c r="Q20" s="172"/>
      <c r="R20" s="199">
        <f t="shared" si="8"/>
        <v>2196.7200000000003</v>
      </c>
      <c r="S20" s="176">
        <f t="shared" si="8"/>
        <v>1686.96</v>
      </c>
      <c r="T20" s="176">
        <f t="shared" si="8"/>
        <v>1522.8000000000002</v>
      </c>
      <c r="U20" s="177">
        <f t="shared" si="8"/>
        <v>2216.1600000000003</v>
      </c>
      <c r="V20" s="200"/>
      <c r="W20" s="199">
        <f t="shared" si="9"/>
        <v>1098.3600000000001</v>
      </c>
      <c r="X20" s="176">
        <f t="shared" si="9"/>
        <v>843.48</v>
      </c>
      <c r="Y20" s="176">
        <f t="shared" si="9"/>
        <v>761.40000000000009</v>
      </c>
      <c r="Z20" s="177">
        <f t="shared" si="9"/>
        <v>1108.0800000000002</v>
      </c>
      <c r="AA20" s="199" t="s">
        <v>307</v>
      </c>
      <c r="AB20" s="199">
        <f t="shared" si="2"/>
        <v>1098.3600000000001</v>
      </c>
      <c r="AC20" s="176">
        <f t="shared" si="3"/>
        <v>843.48</v>
      </c>
      <c r="AD20" s="176">
        <f t="shared" si="4"/>
        <v>761.40000000000009</v>
      </c>
      <c r="AE20" s="177">
        <f t="shared" si="5"/>
        <v>1108.0800000000002</v>
      </c>
    </row>
    <row r="21" spans="1:31" x14ac:dyDescent="0.2">
      <c r="A21" s="86"/>
      <c r="B21" s="215" t="s">
        <v>232</v>
      </c>
      <c r="C21" s="214"/>
      <c r="D21" s="287"/>
      <c r="E21" s="216">
        <v>240</v>
      </c>
      <c r="F21" s="217"/>
      <c r="G21" s="218" t="s">
        <v>22</v>
      </c>
      <c r="H21" s="219">
        <v>0.46</v>
      </c>
      <c r="I21" s="220"/>
      <c r="J21" s="221"/>
      <c r="K21" s="168">
        <f t="shared" si="11"/>
        <v>0.46</v>
      </c>
      <c r="L21" s="168">
        <v>6.2</v>
      </c>
      <c r="M21" s="169">
        <v>0.5</v>
      </c>
      <c r="N21" s="170">
        <f t="shared" si="12"/>
        <v>3.1</v>
      </c>
      <c r="O21" s="197">
        <f t="shared" si="13"/>
        <v>3</v>
      </c>
      <c r="P21" s="198">
        <f t="shared" si="1"/>
        <v>1.38</v>
      </c>
      <c r="Q21" s="172"/>
      <c r="R21" s="199">
        <f t="shared" si="8"/>
        <v>2806.9199999999996</v>
      </c>
      <c r="S21" s="176">
        <f t="shared" si="8"/>
        <v>2155.56</v>
      </c>
      <c r="T21" s="176">
        <f t="shared" si="8"/>
        <v>1945.8</v>
      </c>
      <c r="U21" s="177">
        <f t="shared" si="8"/>
        <v>2831.7599999999998</v>
      </c>
      <c r="V21" s="200"/>
      <c r="W21" s="199">
        <f t="shared" si="9"/>
        <v>1403.4599999999998</v>
      </c>
      <c r="X21" s="176">
        <f t="shared" si="9"/>
        <v>1077.78</v>
      </c>
      <c r="Y21" s="176">
        <f t="shared" si="9"/>
        <v>972.9</v>
      </c>
      <c r="Z21" s="177">
        <f t="shared" si="9"/>
        <v>1415.8799999999999</v>
      </c>
      <c r="AA21" s="199" t="s">
        <v>307</v>
      </c>
      <c r="AB21" s="199">
        <f t="shared" si="2"/>
        <v>1403.4599999999998</v>
      </c>
      <c r="AC21" s="176">
        <f t="shared" si="3"/>
        <v>1077.78</v>
      </c>
      <c r="AD21" s="176">
        <f t="shared" si="4"/>
        <v>972.9</v>
      </c>
      <c r="AE21" s="177">
        <f t="shared" si="5"/>
        <v>1415.8799999999999</v>
      </c>
    </row>
    <row r="22" spans="1:31" x14ac:dyDescent="0.2">
      <c r="A22" s="86"/>
      <c r="B22" s="215" t="s">
        <v>140</v>
      </c>
      <c r="C22" s="214"/>
      <c r="E22" s="222" t="s">
        <v>141</v>
      </c>
      <c r="F22" s="217" t="s">
        <v>233</v>
      </c>
      <c r="G22" s="218" t="s">
        <v>22</v>
      </c>
      <c r="H22" s="219">
        <v>0.3</v>
      </c>
      <c r="I22" s="220"/>
      <c r="J22" s="221"/>
      <c r="K22" s="223">
        <f t="shared" si="11"/>
        <v>0.3</v>
      </c>
      <c r="L22" s="223">
        <v>6.2</v>
      </c>
      <c r="M22" s="169">
        <v>0.5</v>
      </c>
      <c r="N22" s="170">
        <f t="shared" si="12"/>
        <v>3.1</v>
      </c>
      <c r="O22" s="197">
        <f t="shared" si="13"/>
        <v>3</v>
      </c>
      <c r="P22" s="198">
        <f t="shared" si="1"/>
        <v>0.9</v>
      </c>
      <c r="Q22" s="172"/>
      <c r="R22" s="199">
        <f t="shared" si="8"/>
        <v>1830.6000000000001</v>
      </c>
      <c r="S22" s="176">
        <f t="shared" si="8"/>
        <v>1405.8</v>
      </c>
      <c r="T22" s="176">
        <f t="shared" si="8"/>
        <v>1269</v>
      </c>
      <c r="U22" s="177">
        <f t="shared" si="8"/>
        <v>1846.8</v>
      </c>
      <c r="V22" s="200"/>
      <c r="W22" s="199">
        <f t="shared" si="9"/>
        <v>915.30000000000007</v>
      </c>
      <c r="X22" s="176">
        <f t="shared" si="9"/>
        <v>702.9</v>
      </c>
      <c r="Y22" s="176">
        <f t="shared" si="9"/>
        <v>634.5</v>
      </c>
      <c r="Z22" s="177">
        <f t="shared" si="9"/>
        <v>923.4</v>
      </c>
      <c r="AA22" s="199" t="s">
        <v>307</v>
      </c>
      <c r="AB22" s="199">
        <f t="shared" si="2"/>
        <v>915.30000000000007</v>
      </c>
      <c r="AC22" s="176">
        <f t="shared" si="3"/>
        <v>702.9</v>
      </c>
      <c r="AD22" s="176">
        <f t="shared" si="4"/>
        <v>634.5</v>
      </c>
      <c r="AE22" s="177">
        <f t="shared" si="5"/>
        <v>923.4</v>
      </c>
    </row>
    <row r="23" spans="1:31" x14ac:dyDescent="0.2">
      <c r="A23" s="86"/>
      <c r="B23" s="215" t="s">
        <v>142</v>
      </c>
      <c r="C23" s="214"/>
      <c r="E23" s="222" t="s">
        <v>143</v>
      </c>
      <c r="F23" s="217" t="s">
        <v>234</v>
      </c>
      <c r="G23" s="218" t="s">
        <v>22</v>
      </c>
      <c r="H23" s="219">
        <v>0.26</v>
      </c>
      <c r="I23" s="220"/>
      <c r="J23" s="221"/>
      <c r="K23" s="223">
        <f t="shared" si="11"/>
        <v>0.26</v>
      </c>
      <c r="L23" s="223">
        <v>6.2</v>
      </c>
      <c r="M23" s="169">
        <v>0.5</v>
      </c>
      <c r="N23" s="170">
        <f t="shared" si="12"/>
        <v>3.1</v>
      </c>
      <c r="O23" s="197">
        <f t="shared" si="13"/>
        <v>3</v>
      </c>
      <c r="P23" s="198">
        <f t="shared" si="1"/>
        <v>0.78</v>
      </c>
      <c r="Q23" s="172"/>
      <c r="R23" s="199">
        <f t="shared" si="8"/>
        <v>1586.52</v>
      </c>
      <c r="S23" s="176">
        <f t="shared" si="8"/>
        <v>1218.3600000000001</v>
      </c>
      <c r="T23" s="176">
        <f t="shared" si="8"/>
        <v>1099.8</v>
      </c>
      <c r="U23" s="177">
        <f t="shared" si="8"/>
        <v>1600.56</v>
      </c>
      <c r="V23" s="200"/>
      <c r="W23" s="199">
        <f t="shared" si="9"/>
        <v>793.26</v>
      </c>
      <c r="X23" s="176">
        <f t="shared" si="9"/>
        <v>609.18000000000006</v>
      </c>
      <c r="Y23" s="176">
        <f t="shared" si="9"/>
        <v>549.9</v>
      </c>
      <c r="Z23" s="177">
        <f t="shared" si="9"/>
        <v>800.28</v>
      </c>
      <c r="AA23" s="199" t="s">
        <v>307</v>
      </c>
      <c r="AB23" s="199">
        <f t="shared" si="2"/>
        <v>793.26</v>
      </c>
      <c r="AC23" s="176">
        <f t="shared" si="3"/>
        <v>609.18000000000006</v>
      </c>
      <c r="AD23" s="176">
        <f t="shared" si="4"/>
        <v>549.9</v>
      </c>
      <c r="AE23" s="177">
        <f t="shared" si="5"/>
        <v>800.28</v>
      </c>
    </row>
    <row r="24" spans="1:31" ht="13.5" thickBot="1" x14ac:dyDescent="0.25">
      <c r="A24" s="86"/>
      <c r="B24" s="225" t="s">
        <v>24</v>
      </c>
      <c r="C24" s="224"/>
      <c r="E24" s="226" t="s">
        <v>25</v>
      </c>
      <c r="F24" s="227" t="s">
        <v>235</v>
      </c>
      <c r="G24" s="228" t="s">
        <v>64</v>
      </c>
      <c r="H24" s="229">
        <v>0.26</v>
      </c>
      <c r="I24" s="230"/>
      <c r="J24" s="231"/>
      <c r="K24" s="232">
        <f t="shared" si="11"/>
        <v>0.26</v>
      </c>
      <c r="L24" s="232">
        <v>6.2</v>
      </c>
      <c r="M24" s="233">
        <v>0.5</v>
      </c>
      <c r="N24" s="234">
        <f t="shared" si="12"/>
        <v>3.1</v>
      </c>
      <c r="O24" s="234">
        <f t="shared" si="13"/>
        <v>3</v>
      </c>
      <c r="P24" s="235">
        <f t="shared" si="1"/>
        <v>0.78</v>
      </c>
      <c r="Q24" s="172"/>
      <c r="R24" s="236">
        <f t="shared" si="8"/>
        <v>1586.52</v>
      </c>
      <c r="S24" s="192">
        <f t="shared" si="8"/>
        <v>1218.3600000000001</v>
      </c>
      <c r="T24" s="192">
        <f t="shared" si="8"/>
        <v>1099.8</v>
      </c>
      <c r="U24" s="193">
        <f t="shared" si="8"/>
        <v>1600.56</v>
      </c>
      <c r="V24" s="200"/>
      <c r="W24" s="236">
        <f t="shared" si="9"/>
        <v>793.26</v>
      </c>
      <c r="X24" s="192">
        <f t="shared" si="9"/>
        <v>609.18000000000006</v>
      </c>
      <c r="Y24" s="192">
        <f t="shared" si="9"/>
        <v>549.9</v>
      </c>
      <c r="Z24" s="193">
        <f t="shared" si="9"/>
        <v>800.28</v>
      </c>
      <c r="AA24" s="199" t="s">
        <v>307</v>
      </c>
      <c r="AB24" s="236">
        <f t="shared" si="2"/>
        <v>793.26</v>
      </c>
      <c r="AC24" s="192">
        <f t="shared" si="3"/>
        <v>609.18000000000006</v>
      </c>
      <c r="AD24" s="192">
        <f t="shared" si="4"/>
        <v>549.9</v>
      </c>
      <c r="AE24" s="193">
        <f t="shared" si="5"/>
        <v>800.28</v>
      </c>
    </row>
    <row r="25" spans="1:31" x14ac:dyDescent="0.2">
      <c r="A25" s="86"/>
      <c r="B25" s="205" t="s">
        <v>26</v>
      </c>
      <c r="C25" s="206"/>
      <c r="D25" s="247"/>
      <c r="E25" s="208"/>
      <c r="F25" s="141"/>
      <c r="G25" s="142"/>
      <c r="H25" s="143"/>
      <c r="I25" s="144"/>
      <c r="J25" s="145"/>
      <c r="K25" s="147"/>
      <c r="L25" s="147"/>
      <c r="M25" s="148"/>
      <c r="N25" s="149"/>
      <c r="O25" s="209"/>
      <c r="P25" s="210"/>
      <c r="Q25" s="172"/>
      <c r="R25" s="237"/>
      <c r="S25" s="238"/>
      <c r="T25" s="238"/>
      <c r="U25" s="239"/>
      <c r="V25" s="200"/>
      <c r="W25" s="237"/>
      <c r="X25" s="238"/>
      <c r="Y25" s="238"/>
      <c r="Z25" s="239"/>
      <c r="AA25" s="199" t="s">
        <v>307</v>
      </c>
      <c r="AB25" s="237"/>
      <c r="AC25" s="238"/>
      <c r="AD25" s="238"/>
      <c r="AE25" s="239"/>
    </row>
    <row r="26" spans="1:31" x14ac:dyDescent="0.2">
      <c r="A26" s="86"/>
      <c r="B26" s="207" t="s">
        <v>27</v>
      </c>
      <c r="C26" s="206"/>
      <c r="D26" s="287"/>
      <c r="E26" s="208" t="s">
        <v>28</v>
      </c>
      <c r="F26" s="141" t="s">
        <v>236</v>
      </c>
      <c r="G26" s="142" t="s">
        <v>29</v>
      </c>
      <c r="H26" s="143">
        <v>0.6</v>
      </c>
      <c r="I26" s="144"/>
      <c r="J26" s="145"/>
      <c r="K26" s="147">
        <f>ROUND(H26*(1-I26),2)</f>
        <v>0.6</v>
      </c>
      <c r="L26" s="147">
        <v>6.68</v>
      </c>
      <c r="M26" s="148">
        <v>0.5</v>
      </c>
      <c r="N26" s="168">
        <f>ROUND(L26*M26,2)</f>
        <v>3.34</v>
      </c>
      <c r="O26" s="197">
        <f>MIN($O$4,N26)</f>
        <v>3</v>
      </c>
      <c r="P26" s="198">
        <f t="shared" si="1"/>
        <v>1.8</v>
      </c>
      <c r="Q26" s="172"/>
      <c r="R26" s="199">
        <f t="shared" si="8"/>
        <v>3661.2000000000003</v>
      </c>
      <c r="S26" s="176">
        <f t="shared" si="8"/>
        <v>2811.6</v>
      </c>
      <c r="T26" s="176">
        <f t="shared" si="8"/>
        <v>2538</v>
      </c>
      <c r="U26" s="177">
        <f t="shared" si="8"/>
        <v>3693.6</v>
      </c>
      <c r="V26" s="200"/>
      <c r="W26" s="199">
        <f t="shared" si="9"/>
        <v>1830.6000000000001</v>
      </c>
      <c r="X26" s="176">
        <f t="shared" si="9"/>
        <v>1405.8</v>
      </c>
      <c r="Y26" s="176">
        <f t="shared" si="9"/>
        <v>1269</v>
      </c>
      <c r="Z26" s="177">
        <f t="shared" si="9"/>
        <v>1846.8</v>
      </c>
      <c r="AA26" s="199" t="s">
        <v>307</v>
      </c>
      <c r="AB26" s="199">
        <f t="shared" si="2"/>
        <v>1830.6000000000001</v>
      </c>
      <c r="AC26" s="176">
        <f t="shared" si="3"/>
        <v>1405.8</v>
      </c>
      <c r="AD26" s="176">
        <f t="shared" si="4"/>
        <v>1269</v>
      </c>
      <c r="AE26" s="177">
        <f t="shared" si="5"/>
        <v>1846.8</v>
      </c>
    </row>
    <row r="27" spans="1:31" ht="13.5" thickBot="1" x14ac:dyDescent="0.25">
      <c r="A27" s="86"/>
      <c r="B27" s="225" t="s">
        <v>30</v>
      </c>
      <c r="C27" s="214"/>
      <c r="D27" s="288"/>
      <c r="E27" s="226" t="s">
        <v>31</v>
      </c>
      <c r="F27" s="227" t="s">
        <v>237</v>
      </c>
      <c r="G27" s="228" t="s">
        <v>29</v>
      </c>
      <c r="H27" s="229">
        <v>0.38</v>
      </c>
      <c r="I27" s="230"/>
      <c r="J27" s="231"/>
      <c r="K27" s="232">
        <f>ROUND(H27*(1-I27),2)</f>
        <v>0.38</v>
      </c>
      <c r="L27" s="232">
        <v>6.68</v>
      </c>
      <c r="M27" s="233">
        <v>0.5</v>
      </c>
      <c r="N27" s="189">
        <f>ROUND(L27*M27,2)</f>
        <v>3.34</v>
      </c>
      <c r="O27" s="234">
        <f>MIN($O$4,N27)</f>
        <v>3</v>
      </c>
      <c r="P27" s="235">
        <f t="shared" si="1"/>
        <v>1.1399999999999999</v>
      </c>
      <c r="Q27" s="172"/>
      <c r="R27" s="202">
        <f t="shared" si="8"/>
        <v>2318.7599999999998</v>
      </c>
      <c r="S27" s="203">
        <f t="shared" si="8"/>
        <v>1780.6799999999998</v>
      </c>
      <c r="T27" s="203">
        <f t="shared" si="8"/>
        <v>1607.3999999999999</v>
      </c>
      <c r="U27" s="204">
        <f t="shared" si="8"/>
        <v>2339.2799999999997</v>
      </c>
      <c r="V27" s="200"/>
      <c r="W27" s="202">
        <f t="shared" si="9"/>
        <v>1159.3799999999999</v>
      </c>
      <c r="X27" s="203">
        <f t="shared" si="9"/>
        <v>890.33999999999992</v>
      </c>
      <c r="Y27" s="203">
        <f t="shared" si="9"/>
        <v>803.69999999999993</v>
      </c>
      <c r="Z27" s="204">
        <f t="shared" si="9"/>
        <v>1169.6399999999999</v>
      </c>
      <c r="AA27" s="199" t="s">
        <v>307</v>
      </c>
      <c r="AB27" s="202">
        <f t="shared" si="2"/>
        <v>1159.3799999999999</v>
      </c>
      <c r="AC27" s="203">
        <f t="shared" si="3"/>
        <v>890.33999999999992</v>
      </c>
      <c r="AD27" s="203">
        <f t="shared" si="4"/>
        <v>803.69999999999993</v>
      </c>
      <c r="AE27" s="204">
        <f t="shared" si="5"/>
        <v>1169.6399999999999</v>
      </c>
    </row>
    <row r="28" spans="1:31" x14ac:dyDescent="0.2">
      <c r="A28" s="86"/>
      <c r="B28" s="205" t="s">
        <v>32</v>
      </c>
      <c r="C28" s="246"/>
      <c r="D28" s="247"/>
      <c r="E28" s="208"/>
      <c r="F28" s="141"/>
      <c r="G28" s="142"/>
      <c r="H28" s="143"/>
      <c r="I28" s="144"/>
      <c r="J28" s="145"/>
      <c r="K28" s="147"/>
      <c r="L28" s="147"/>
      <c r="M28" s="148"/>
      <c r="N28" s="149"/>
      <c r="O28" s="209"/>
      <c r="P28" s="210"/>
      <c r="Q28" s="172"/>
      <c r="R28" s="237"/>
      <c r="S28" s="238"/>
      <c r="T28" s="238"/>
      <c r="U28" s="239"/>
      <c r="V28" s="200"/>
      <c r="W28" s="237"/>
      <c r="X28" s="238"/>
      <c r="Y28" s="238"/>
      <c r="Z28" s="239"/>
      <c r="AA28" s="199" t="s">
        <v>307</v>
      </c>
      <c r="AB28" s="237"/>
      <c r="AC28" s="238"/>
      <c r="AD28" s="238"/>
      <c r="AE28" s="239"/>
    </row>
    <row r="29" spans="1:31" x14ac:dyDescent="0.2">
      <c r="A29" s="86"/>
      <c r="B29" s="161" t="s">
        <v>144</v>
      </c>
      <c r="C29" s="160"/>
      <c r="D29" s="287"/>
      <c r="E29" s="162" t="s">
        <v>33</v>
      </c>
      <c r="F29" s="163" t="s">
        <v>238</v>
      </c>
      <c r="G29" s="164" t="s">
        <v>34</v>
      </c>
      <c r="H29" s="165">
        <v>1.25</v>
      </c>
      <c r="I29" s="166"/>
      <c r="J29" s="167"/>
      <c r="K29" s="168">
        <f t="shared" ref="K29:K37" si="14">ROUND(H29*(1-I29),2)</f>
        <v>1.25</v>
      </c>
      <c r="L29" s="168">
        <v>6.68</v>
      </c>
      <c r="M29" s="169">
        <v>0.5</v>
      </c>
      <c r="N29" s="168">
        <f t="shared" ref="N29:N37" si="15">ROUND(L29*M29,2)</f>
        <v>3.34</v>
      </c>
      <c r="O29" s="197">
        <f t="shared" ref="O29:O37" si="16">MIN($O$4,N29)</f>
        <v>3</v>
      </c>
      <c r="P29" s="198">
        <f t="shared" si="1"/>
        <v>3.75</v>
      </c>
      <c r="Q29" s="172"/>
      <c r="R29" s="199">
        <f t="shared" si="8"/>
        <v>7627.5</v>
      </c>
      <c r="S29" s="176">
        <f t="shared" si="8"/>
        <v>5857.5</v>
      </c>
      <c r="T29" s="176">
        <f t="shared" si="8"/>
        <v>5287.5</v>
      </c>
      <c r="U29" s="177">
        <f t="shared" si="8"/>
        <v>7695</v>
      </c>
      <c r="V29" s="200"/>
      <c r="W29" s="199">
        <f t="shared" si="9"/>
        <v>3813.75</v>
      </c>
      <c r="X29" s="176">
        <f t="shared" si="9"/>
        <v>2928.75</v>
      </c>
      <c r="Y29" s="176">
        <f t="shared" si="9"/>
        <v>2643.75</v>
      </c>
      <c r="Z29" s="177">
        <f t="shared" si="9"/>
        <v>3847.5</v>
      </c>
      <c r="AA29" s="199" t="s">
        <v>307</v>
      </c>
      <c r="AB29" s="199">
        <f t="shared" si="2"/>
        <v>3813.75</v>
      </c>
      <c r="AC29" s="176">
        <f t="shared" si="3"/>
        <v>2928.75</v>
      </c>
      <c r="AD29" s="176">
        <f t="shared" si="4"/>
        <v>2643.75</v>
      </c>
      <c r="AE29" s="177">
        <f t="shared" si="5"/>
        <v>3847.5</v>
      </c>
    </row>
    <row r="30" spans="1:31" x14ac:dyDescent="0.2">
      <c r="A30" s="86"/>
      <c r="B30" s="161" t="s">
        <v>35</v>
      </c>
      <c r="C30" s="160"/>
      <c r="E30" s="162" t="s">
        <v>36</v>
      </c>
      <c r="F30" s="163" t="s">
        <v>239</v>
      </c>
      <c r="G30" s="164" t="s">
        <v>9</v>
      </c>
      <c r="H30" s="165">
        <v>0.28000000000000003</v>
      </c>
      <c r="I30" s="166"/>
      <c r="J30" s="167"/>
      <c r="K30" s="168">
        <f t="shared" si="14"/>
        <v>0.28000000000000003</v>
      </c>
      <c r="L30" s="168">
        <v>6.68</v>
      </c>
      <c r="M30" s="169">
        <v>0.5</v>
      </c>
      <c r="N30" s="149">
        <f t="shared" si="15"/>
        <v>3.34</v>
      </c>
      <c r="O30" s="197">
        <f t="shared" si="16"/>
        <v>3</v>
      </c>
      <c r="P30" s="198">
        <f t="shared" si="1"/>
        <v>0.84</v>
      </c>
      <c r="Q30" s="172"/>
      <c r="R30" s="199">
        <f t="shared" si="8"/>
        <v>1708.56</v>
      </c>
      <c r="S30" s="176">
        <f t="shared" si="8"/>
        <v>1312.08</v>
      </c>
      <c r="T30" s="176">
        <f t="shared" si="8"/>
        <v>1184.3999999999999</v>
      </c>
      <c r="U30" s="177">
        <f t="shared" si="8"/>
        <v>1723.6799999999998</v>
      </c>
      <c r="V30" s="200"/>
      <c r="W30" s="199">
        <f t="shared" si="9"/>
        <v>854.28</v>
      </c>
      <c r="X30" s="176">
        <f t="shared" si="9"/>
        <v>656.04</v>
      </c>
      <c r="Y30" s="176">
        <f t="shared" si="9"/>
        <v>592.19999999999993</v>
      </c>
      <c r="Z30" s="177">
        <f t="shared" si="9"/>
        <v>861.83999999999992</v>
      </c>
      <c r="AA30" s="199" t="s">
        <v>307</v>
      </c>
      <c r="AB30" s="199">
        <f t="shared" si="2"/>
        <v>854.28</v>
      </c>
      <c r="AC30" s="176">
        <f t="shared" si="3"/>
        <v>656.04</v>
      </c>
      <c r="AD30" s="176">
        <f t="shared" si="4"/>
        <v>592.19999999999993</v>
      </c>
      <c r="AE30" s="177">
        <f t="shared" si="5"/>
        <v>861.83999999999992</v>
      </c>
    </row>
    <row r="31" spans="1:31" x14ac:dyDescent="0.2">
      <c r="A31" s="86"/>
      <c r="B31" s="161" t="s">
        <v>240</v>
      </c>
      <c r="C31" s="160"/>
      <c r="E31" s="240" t="s">
        <v>241</v>
      </c>
      <c r="F31" s="163" t="s">
        <v>239</v>
      </c>
      <c r="G31" s="164" t="s">
        <v>13</v>
      </c>
      <c r="H31" s="165">
        <v>1.1599999999999999</v>
      </c>
      <c r="I31" s="166"/>
      <c r="J31" s="167"/>
      <c r="K31" s="168">
        <f t="shared" si="14"/>
        <v>1.1599999999999999</v>
      </c>
      <c r="L31" s="168">
        <v>6.68</v>
      </c>
      <c r="M31" s="169">
        <v>0.5</v>
      </c>
      <c r="N31" s="170">
        <f t="shared" si="15"/>
        <v>3.34</v>
      </c>
      <c r="O31" s="197">
        <f t="shared" si="16"/>
        <v>3</v>
      </c>
      <c r="P31" s="198">
        <f t="shared" si="1"/>
        <v>3.48</v>
      </c>
      <c r="Q31" s="172"/>
      <c r="R31" s="199">
        <f t="shared" si="8"/>
        <v>7078.32</v>
      </c>
      <c r="S31" s="176">
        <f t="shared" si="8"/>
        <v>5435.76</v>
      </c>
      <c r="T31" s="176">
        <f t="shared" si="8"/>
        <v>4906.8</v>
      </c>
      <c r="U31" s="177">
        <f t="shared" si="8"/>
        <v>7140.96</v>
      </c>
      <c r="V31" s="200"/>
      <c r="W31" s="199">
        <f t="shared" si="9"/>
        <v>3539.16</v>
      </c>
      <c r="X31" s="176">
        <f t="shared" si="9"/>
        <v>2717.88</v>
      </c>
      <c r="Y31" s="176">
        <f t="shared" si="9"/>
        <v>2453.4</v>
      </c>
      <c r="Z31" s="177">
        <f t="shared" si="9"/>
        <v>3570.48</v>
      </c>
      <c r="AA31" s="199" t="s">
        <v>307</v>
      </c>
      <c r="AB31" s="199">
        <f t="shared" si="2"/>
        <v>3539.16</v>
      </c>
      <c r="AC31" s="176">
        <f t="shared" si="3"/>
        <v>2717.88</v>
      </c>
      <c r="AD31" s="176">
        <f t="shared" si="4"/>
        <v>2453.4</v>
      </c>
      <c r="AE31" s="177">
        <f t="shared" si="5"/>
        <v>3570.48</v>
      </c>
    </row>
    <row r="32" spans="1:31" x14ac:dyDescent="0.2">
      <c r="A32" s="86"/>
      <c r="B32" s="161" t="s">
        <v>145</v>
      </c>
      <c r="C32" s="160"/>
      <c r="E32" s="162" t="s">
        <v>37</v>
      </c>
      <c r="F32" s="163" t="s">
        <v>242</v>
      </c>
      <c r="G32" s="164" t="s">
        <v>13</v>
      </c>
      <c r="H32" s="165">
        <v>2.31</v>
      </c>
      <c r="I32" s="166"/>
      <c r="J32" s="167"/>
      <c r="K32" s="168">
        <f t="shared" si="14"/>
        <v>2.31</v>
      </c>
      <c r="L32" s="168">
        <v>6.68</v>
      </c>
      <c r="M32" s="169">
        <v>0.5</v>
      </c>
      <c r="N32" s="170">
        <f t="shared" si="15"/>
        <v>3.34</v>
      </c>
      <c r="O32" s="197">
        <f t="shared" si="16"/>
        <v>3</v>
      </c>
      <c r="P32" s="198">
        <f t="shared" si="1"/>
        <v>6.93</v>
      </c>
      <c r="Q32" s="172"/>
      <c r="R32" s="199">
        <f t="shared" si="8"/>
        <v>14095.619999999999</v>
      </c>
      <c r="S32" s="176">
        <f t="shared" si="8"/>
        <v>10824.66</v>
      </c>
      <c r="T32" s="176">
        <f t="shared" si="8"/>
        <v>9771.2999999999993</v>
      </c>
      <c r="U32" s="177">
        <f t="shared" si="8"/>
        <v>14220.359999999999</v>
      </c>
      <c r="V32" s="200"/>
      <c r="W32" s="199">
        <f t="shared" si="9"/>
        <v>7047.8099999999995</v>
      </c>
      <c r="X32" s="176">
        <f t="shared" si="9"/>
        <v>5412.33</v>
      </c>
      <c r="Y32" s="176">
        <f t="shared" si="9"/>
        <v>4885.6499999999996</v>
      </c>
      <c r="Z32" s="177">
        <f t="shared" si="9"/>
        <v>7110.1799999999994</v>
      </c>
      <c r="AA32" s="199" t="s">
        <v>307</v>
      </c>
      <c r="AB32" s="199">
        <f t="shared" si="2"/>
        <v>7047.8099999999995</v>
      </c>
      <c r="AC32" s="176">
        <f t="shared" si="3"/>
        <v>5412.33</v>
      </c>
      <c r="AD32" s="176">
        <f t="shared" si="4"/>
        <v>4885.6499999999996</v>
      </c>
      <c r="AE32" s="177">
        <f t="shared" si="5"/>
        <v>7110.1799999999994</v>
      </c>
    </row>
    <row r="33" spans="1:31" x14ac:dyDescent="0.2">
      <c r="A33" s="86"/>
      <c r="B33" s="161" t="s">
        <v>146</v>
      </c>
      <c r="C33" s="160"/>
      <c r="E33" s="162" t="s">
        <v>38</v>
      </c>
      <c r="F33" s="163" t="s">
        <v>243</v>
      </c>
      <c r="G33" s="164" t="s">
        <v>13</v>
      </c>
      <c r="H33" s="165">
        <v>1.33</v>
      </c>
      <c r="I33" s="166"/>
      <c r="J33" s="167"/>
      <c r="K33" s="168">
        <f t="shared" si="14"/>
        <v>1.33</v>
      </c>
      <c r="L33" s="168">
        <v>6.68</v>
      </c>
      <c r="M33" s="169">
        <v>0.5</v>
      </c>
      <c r="N33" s="170">
        <f t="shared" si="15"/>
        <v>3.34</v>
      </c>
      <c r="O33" s="197">
        <f t="shared" si="16"/>
        <v>3</v>
      </c>
      <c r="P33" s="198">
        <f t="shared" si="1"/>
        <v>3.99</v>
      </c>
      <c r="Q33" s="172"/>
      <c r="R33" s="199">
        <f t="shared" si="8"/>
        <v>8115.6600000000008</v>
      </c>
      <c r="S33" s="176">
        <f t="shared" si="8"/>
        <v>6232.38</v>
      </c>
      <c r="T33" s="176">
        <f t="shared" si="8"/>
        <v>5625.9000000000005</v>
      </c>
      <c r="U33" s="177">
        <f t="shared" si="8"/>
        <v>8187.4800000000005</v>
      </c>
      <c r="V33" s="200"/>
      <c r="W33" s="199">
        <f t="shared" si="9"/>
        <v>4057.8300000000004</v>
      </c>
      <c r="X33" s="176">
        <f t="shared" si="9"/>
        <v>3116.19</v>
      </c>
      <c r="Y33" s="176">
        <f t="shared" si="9"/>
        <v>2812.9500000000003</v>
      </c>
      <c r="Z33" s="177">
        <f t="shared" si="9"/>
        <v>4093.7400000000002</v>
      </c>
      <c r="AA33" s="199" t="s">
        <v>307</v>
      </c>
      <c r="AB33" s="199">
        <f t="shared" si="2"/>
        <v>4057.8300000000004</v>
      </c>
      <c r="AC33" s="176">
        <f t="shared" si="3"/>
        <v>3116.19</v>
      </c>
      <c r="AD33" s="176">
        <f t="shared" si="4"/>
        <v>2812.9500000000003</v>
      </c>
      <c r="AE33" s="177">
        <f t="shared" si="5"/>
        <v>4093.7400000000002</v>
      </c>
    </row>
    <row r="34" spans="1:31" x14ac:dyDescent="0.2">
      <c r="A34" s="86"/>
      <c r="B34" s="161" t="s">
        <v>147</v>
      </c>
      <c r="C34" s="160"/>
      <c r="E34" s="162" t="s">
        <v>39</v>
      </c>
      <c r="F34" s="163" t="s">
        <v>244</v>
      </c>
      <c r="G34" s="164" t="s">
        <v>40</v>
      </c>
      <c r="H34" s="165">
        <v>0.33</v>
      </c>
      <c r="I34" s="166"/>
      <c r="J34" s="167"/>
      <c r="K34" s="168">
        <f t="shared" si="14"/>
        <v>0.33</v>
      </c>
      <c r="L34" s="168">
        <v>6.68</v>
      </c>
      <c r="M34" s="169">
        <v>0.5</v>
      </c>
      <c r="N34" s="170">
        <f t="shared" si="15"/>
        <v>3.34</v>
      </c>
      <c r="O34" s="197">
        <f t="shared" si="16"/>
        <v>3</v>
      </c>
      <c r="P34" s="198">
        <f t="shared" si="1"/>
        <v>0.99</v>
      </c>
      <c r="Q34" s="172"/>
      <c r="R34" s="199">
        <f t="shared" si="8"/>
        <v>2013.66</v>
      </c>
      <c r="S34" s="176">
        <f t="shared" si="8"/>
        <v>1546.3799999999999</v>
      </c>
      <c r="T34" s="176">
        <f t="shared" si="8"/>
        <v>1395.9</v>
      </c>
      <c r="U34" s="177">
        <f t="shared" si="8"/>
        <v>2031.48</v>
      </c>
      <c r="V34" s="200"/>
      <c r="W34" s="199">
        <f t="shared" si="9"/>
        <v>1006.83</v>
      </c>
      <c r="X34" s="176">
        <f t="shared" si="9"/>
        <v>773.18999999999994</v>
      </c>
      <c r="Y34" s="176">
        <f t="shared" si="9"/>
        <v>697.95</v>
      </c>
      <c r="Z34" s="177">
        <f t="shared" si="9"/>
        <v>1015.74</v>
      </c>
      <c r="AA34" s="199" t="s">
        <v>307</v>
      </c>
      <c r="AB34" s="199">
        <f t="shared" si="2"/>
        <v>1006.83</v>
      </c>
      <c r="AC34" s="176">
        <f t="shared" si="3"/>
        <v>773.18999999999994</v>
      </c>
      <c r="AD34" s="176">
        <f t="shared" si="4"/>
        <v>697.95</v>
      </c>
      <c r="AE34" s="177">
        <f t="shared" si="5"/>
        <v>1015.74</v>
      </c>
    </row>
    <row r="35" spans="1:31" x14ac:dyDescent="0.2">
      <c r="A35" s="86"/>
      <c r="B35" s="161" t="s">
        <v>41</v>
      </c>
      <c r="C35" s="160"/>
      <c r="E35" s="162" t="s">
        <v>42</v>
      </c>
      <c r="F35" s="163" t="s">
        <v>245</v>
      </c>
      <c r="G35" s="164" t="s">
        <v>43</v>
      </c>
      <c r="H35" s="165">
        <v>13.73</v>
      </c>
      <c r="I35" s="166"/>
      <c r="J35" s="167"/>
      <c r="K35" s="168">
        <f t="shared" si="14"/>
        <v>13.73</v>
      </c>
      <c r="L35" s="168">
        <v>6.68</v>
      </c>
      <c r="M35" s="169">
        <v>0.5</v>
      </c>
      <c r="N35" s="170">
        <f t="shared" si="15"/>
        <v>3.34</v>
      </c>
      <c r="O35" s="197">
        <f t="shared" si="16"/>
        <v>3</v>
      </c>
      <c r="P35" s="198">
        <f t="shared" si="1"/>
        <v>41.19</v>
      </c>
      <c r="Q35" s="172"/>
      <c r="R35" s="199">
        <f t="shared" si="8"/>
        <v>83780.459999999992</v>
      </c>
      <c r="S35" s="176">
        <f t="shared" si="8"/>
        <v>64338.78</v>
      </c>
      <c r="T35" s="176">
        <f t="shared" si="8"/>
        <v>58077.899999999994</v>
      </c>
      <c r="U35" s="177">
        <f t="shared" si="8"/>
        <v>84521.87999999999</v>
      </c>
      <c r="V35" s="200"/>
      <c r="W35" s="199">
        <f t="shared" si="9"/>
        <v>41890.229999999996</v>
      </c>
      <c r="X35" s="176">
        <f t="shared" si="9"/>
        <v>32169.39</v>
      </c>
      <c r="Y35" s="176">
        <f t="shared" si="9"/>
        <v>29038.949999999997</v>
      </c>
      <c r="Z35" s="177">
        <f t="shared" si="9"/>
        <v>42260.939999999995</v>
      </c>
      <c r="AA35" s="199" t="s">
        <v>307</v>
      </c>
      <c r="AB35" s="199">
        <f t="shared" si="2"/>
        <v>41890.229999999996</v>
      </c>
      <c r="AC35" s="176">
        <f t="shared" si="3"/>
        <v>32169.39</v>
      </c>
      <c r="AD35" s="176">
        <f t="shared" si="4"/>
        <v>29038.949999999997</v>
      </c>
      <c r="AE35" s="177">
        <f t="shared" si="5"/>
        <v>42260.939999999995</v>
      </c>
    </row>
    <row r="36" spans="1:31" x14ac:dyDescent="0.2">
      <c r="A36" s="86"/>
      <c r="B36" s="161" t="s">
        <v>44</v>
      </c>
      <c r="C36" s="160"/>
      <c r="E36" s="162" t="s">
        <v>45</v>
      </c>
      <c r="F36" s="163" t="s">
        <v>246</v>
      </c>
      <c r="G36" s="164" t="s">
        <v>46</v>
      </c>
      <c r="H36" s="165">
        <v>3.82</v>
      </c>
      <c r="I36" s="166"/>
      <c r="J36" s="167"/>
      <c r="K36" s="168">
        <f t="shared" si="14"/>
        <v>3.82</v>
      </c>
      <c r="L36" s="168">
        <v>6.68</v>
      </c>
      <c r="M36" s="169">
        <v>0.5</v>
      </c>
      <c r="N36" s="170">
        <f t="shared" si="15"/>
        <v>3.34</v>
      </c>
      <c r="O36" s="170">
        <f t="shared" si="16"/>
        <v>3</v>
      </c>
      <c r="P36" s="171">
        <f t="shared" si="1"/>
        <v>11.46</v>
      </c>
      <c r="Q36" s="172"/>
      <c r="R36" s="199">
        <f t="shared" si="8"/>
        <v>23309.640000000003</v>
      </c>
      <c r="S36" s="176">
        <f t="shared" si="8"/>
        <v>17900.52</v>
      </c>
      <c r="T36" s="176">
        <f t="shared" si="8"/>
        <v>16158.6</v>
      </c>
      <c r="U36" s="177">
        <f t="shared" si="8"/>
        <v>23515.920000000002</v>
      </c>
      <c r="V36" s="200"/>
      <c r="W36" s="199">
        <f t="shared" si="9"/>
        <v>11654.820000000002</v>
      </c>
      <c r="X36" s="176">
        <f t="shared" si="9"/>
        <v>8950.26</v>
      </c>
      <c r="Y36" s="176">
        <f t="shared" si="9"/>
        <v>8079.3</v>
      </c>
      <c r="Z36" s="177">
        <f t="shared" si="9"/>
        <v>11757.960000000001</v>
      </c>
      <c r="AA36" s="199" t="s">
        <v>307</v>
      </c>
      <c r="AB36" s="199">
        <f t="shared" si="2"/>
        <v>11654.820000000002</v>
      </c>
      <c r="AC36" s="176">
        <f t="shared" si="3"/>
        <v>8950.26</v>
      </c>
      <c r="AD36" s="176">
        <f t="shared" si="4"/>
        <v>8079.3</v>
      </c>
      <c r="AE36" s="177">
        <f t="shared" si="5"/>
        <v>11757.960000000001</v>
      </c>
    </row>
    <row r="37" spans="1:31" ht="13.5" thickBot="1" x14ac:dyDescent="0.25">
      <c r="A37" s="86"/>
      <c r="B37" s="286" t="s">
        <v>247</v>
      </c>
      <c r="C37" s="70"/>
      <c r="E37" s="181" t="s">
        <v>248</v>
      </c>
      <c r="F37" s="182" t="s">
        <v>246</v>
      </c>
      <c r="G37" s="183" t="s">
        <v>13</v>
      </c>
      <c r="H37" s="184">
        <v>3.45</v>
      </c>
      <c r="I37" s="185"/>
      <c r="J37" s="186"/>
      <c r="K37" s="187">
        <f t="shared" si="14"/>
        <v>3.45</v>
      </c>
      <c r="L37" s="187">
        <v>6.68</v>
      </c>
      <c r="M37" s="188">
        <v>0.5</v>
      </c>
      <c r="N37" s="189">
        <f t="shared" si="15"/>
        <v>3.34</v>
      </c>
      <c r="O37" s="189">
        <f t="shared" si="16"/>
        <v>3</v>
      </c>
      <c r="P37" s="190">
        <f t="shared" si="1"/>
        <v>10.35</v>
      </c>
      <c r="Q37" s="172"/>
      <c r="R37" s="202">
        <f t="shared" si="8"/>
        <v>21051.899999999998</v>
      </c>
      <c r="S37" s="203">
        <f t="shared" si="8"/>
        <v>16166.699999999999</v>
      </c>
      <c r="T37" s="203">
        <f t="shared" si="8"/>
        <v>14593.5</v>
      </c>
      <c r="U37" s="204">
        <f t="shared" si="8"/>
        <v>21238.2</v>
      </c>
      <c r="V37" s="200"/>
      <c r="W37" s="202">
        <f t="shared" si="9"/>
        <v>10525.949999999999</v>
      </c>
      <c r="X37" s="203">
        <f t="shared" si="9"/>
        <v>8083.3499999999995</v>
      </c>
      <c r="Y37" s="203">
        <f t="shared" si="9"/>
        <v>7296.75</v>
      </c>
      <c r="Z37" s="204">
        <f t="shared" si="9"/>
        <v>10619.1</v>
      </c>
      <c r="AA37" s="199" t="s">
        <v>307</v>
      </c>
      <c r="AB37" s="202">
        <f t="shared" si="2"/>
        <v>10525.949999999999</v>
      </c>
      <c r="AC37" s="203">
        <f t="shared" si="3"/>
        <v>8083.3499999999995</v>
      </c>
      <c r="AD37" s="203">
        <f t="shared" si="4"/>
        <v>7296.75</v>
      </c>
      <c r="AE37" s="204">
        <f t="shared" si="5"/>
        <v>10619.1</v>
      </c>
    </row>
    <row r="38" spans="1:31" x14ac:dyDescent="0.2">
      <c r="A38" s="86"/>
      <c r="B38" s="245" t="s">
        <v>47</v>
      </c>
      <c r="C38" s="246"/>
      <c r="D38" s="247"/>
      <c r="E38" s="208"/>
      <c r="F38" s="141"/>
      <c r="G38" s="142"/>
      <c r="H38" s="143"/>
      <c r="I38" s="144"/>
      <c r="J38" s="145"/>
      <c r="K38" s="147"/>
      <c r="L38" s="147"/>
      <c r="M38" s="148"/>
      <c r="N38" s="149"/>
      <c r="O38" s="209"/>
      <c r="P38" s="210"/>
      <c r="Q38" s="172"/>
      <c r="R38" s="211"/>
      <c r="S38" s="212"/>
      <c r="T38" s="212"/>
      <c r="U38" s="213"/>
      <c r="V38" s="200"/>
      <c r="W38" s="211"/>
      <c r="X38" s="212"/>
      <c r="Y38" s="212"/>
      <c r="Z38" s="213"/>
      <c r="AA38" s="199" t="s">
        <v>307</v>
      </c>
      <c r="AB38" s="211"/>
      <c r="AC38" s="212"/>
      <c r="AD38" s="212"/>
      <c r="AE38" s="213"/>
    </row>
    <row r="39" spans="1:31" x14ac:dyDescent="0.2">
      <c r="A39" s="86"/>
      <c r="B39" s="161" t="s">
        <v>48</v>
      </c>
      <c r="C39" s="160"/>
      <c r="E39" s="162" t="s">
        <v>49</v>
      </c>
      <c r="F39" s="163" t="s">
        <v>249</v>
      </c>
      <c r="G39" s="164" t="s">
        <v>13</v>
      </c>
      <c r="H39" s="165">
        <v>0.49</v>
      </c>
      <c r="I39" s="166"/>
      <c r="J39" s="167"/>
      <c r="K39" s="241">
        <f t="shared" ref="K39:K44" si="17">ROUND(H39*(1-I39),2)</f>
        <v>0.49</v>
      </c>
      <c r="L39" s="168">
        <v>6.81</v>
      </c>
      <c r="M39" s="169">
        <v>0.5</v>
      </c>
      <c r="N39" s="170">
        <f t="shared" ref="N39:N44" si="18">ROUND(L39*M39,2)</f>
        <v>3.41</v>
      </c>
      <c r="O39" s="197">
        <f t="shared" ref="O39:O44" si="19">MIN($O$4,N39)</f>
        <v>3</v>
      </c>
      <c r="P39" s="198">
        <f t="shared" si="1"/>
        <v>1.47</v>
      </c>
      <c r="Q39" s="172"/>
      <c r="R39" s="199">
        <f t="shared" si="8"/>
        <v>2989.98</v>
      </c>
      <c r="S39" s="176">
        <f t="shared" si="8"/>
        <v>2296.14</v>
      </c>
      <c r="T39" s="176">
        <f t="shared" si="8"/>
        <v>2072.6999999999998</v>
      </c>
      <c r="U39" s="177">
        <f t="shared" si="8"/>
        <v>3016.44</v>
      </c>
      <c r="V39" s="200"/>
      <c r="W39" s="199">
        <f t="shared" si="9"/>
        <v>1494.99</v>
      </c>
      <c r="X39" s="176">
        <f t="shared" si="9"/>
        <v>1148.07</v>
      </c>
      <c r="Y39" s="176">
        <f t="shared" si="9"/>
        <v>1036.3499999999999</v>
      </c>
      <c r="Z39" s="177">
        <f t="shared" si="9"/>
        <v>1508.22</v>
      </c>
      <c r="AA39" s="199" t="s">
        <v>307</v>
      </c>
      <c r="AB39" s="199">
        <f t="shared" si="2"/>
        <v>1494.99</v>
      </c>
      <c r="AC39" s="176">
        <f t="shared" si="3"/>
        <v>1148.07</v>
      </c>
      <c r="AD39" s="176">
        <f t="shared" si="4"/>
        <v>1036.3499999999999</v>
      </c>
      <c r="AE39" s="177">
        <f t="shared" si="5"/>
        <v>1508.22</v>
      </c>
    </row>
    <row r="40" spans="1:31" x14ac:dyDescent="0.2">
      <c r="A40" s="86"/>
      <c r="B40" s="161" t="s">
        <v>50</v>
      </c>
      <c r="C40" s="160"/>
      <c r="E40" s="162" t="s">
        <v>51</v>
      </c>
      <c r="F40" s="163" t="s">
        <v>250</v>
      </c>
      <c r="G40" s="164" t="s">
        <v>13</v>
      </c>
      <c r="H40" s="165">
        <v>11.12</v>
      </c>
      <c r="I40" s="166">
        <v>0.44</v>
      </c>
      <c r="J40" s="167" t="s">
        <v>4</v>
      </c>
      <c r="K40" s="241">
        <f t="shared" si="17"/>
        <v>6.23</v>
      </c>
      <c r="L40" s="168">
        <v>3.17</v>
      </c>
      <c r="M40" s="169">
        <v>0.5</v>
      </c>
      <c r="N40" s="170">
        <f t="shared" si="18"/>
        <v>1.59</v>
      </c>
      <c r="O40" s="197">
        <f t="shared" si="19"/>
        <v>1.59</v>
      </c>
      <c r="P40" s="198">
        <f t="shared" si="1"/>
        <v>9.91</v>
      </c>
      <c r="Q40" s="172"/>
      <c r="R40" s="199">
        <f t="shared" si="8"/>
        <v>20156.939999999999</v>
      </c>
      <c r="S40" s="176">
        <f t="shared" si="8"/>
        <v>15479.42</v>
      </c>
      <c r="T40" s="176">
        <f t="shared" si="8"/>
        <v>13973.1</v>
      </c>
      <c r="U40" s="177">
        <f t="shared" si="8"/>
        <v>20335.32</v>
      </c>
      <c r="V40" s="200"/>
      <c r="W40" s="199">
        <f t="shared" si="9"/>
        <v>10078.469999999999</v>
      </c>
      <c r="X40" s="176">
        <f t="shared" si="9"/>
        <v>7739.71</v>
      </c>
      <c r="Y40" s="176">
        <f t="shared" si="9"/>
        <v>6986.55</v>
      </c>
      <c r="Z40" s="177">
        <f t="shared" si="9"/>
        <v>10167.66</v>
      </c>
      <c r="AA40" s="199" t="s">
        <v>307</v>
      </c>
      <c r="AB40" s="199">
        <f t="shared" si="2"/>
        <v>10078.469999999999</v>
      </c>
      <c r="AC40" s="176">
        <f t="shared" si="3"/>
        <v>7739.71</v>
      </c>
      <c r="AD40" s="176">
        <f t="shared" si="4"/>
        <v>6986.55</v>
      </c>
      <c r="AE40" s="177">
        <f t="shared" si="5"/>
        <v>10167.66</v>
      </c>
    </row>
    <row r="41" spans="1:31" x14ac:dyDescent="0.2">
      <c r="A41" s="86"/>
      <c r="B41" s="161" t="s">
        <v>52</v>
      </c>
      <c r="C41" s="160"/>
      <c r="E41" s="162" t="s">
        <v>53</v>
      </c>
      <c r="F41" s="163" t="s">
        <v>251</v>
      </c>
      <c r="G41" s="164" t="s">
        <v>54</v>
      </c>
      <c r="H41" s="165">
        <v>0.17</v>
      </c>
      <c r="I41" s="166"/>
      <c r="J41" s="167"/>
      <c r="K41" s="168">
        <f t="shared" si="17"/>
        <v>0.17</v>
      </c>
      <c r="L41" s="168">
        <v>6.81</v>
      </c>
      <c r="M41" s="169">
        <v>0.5</v>
      </c>
      <c r="N41" s="170">
        <f t="shared" si="18"/>
        <v>3.41</v>
      </c>
      <c r="O41" s="197">
        <f t="shared" si="19"/>
        <v>3</v>
      </c>
      <c r="P41" s="198">
        <f t="shared" si="1"/>
        <v>0.51</v>
      </c>
      <c r="Q41" s="172"/>
      <c r="R41" s="199">
        <f t="shared" si="8"/>
        <v>1037.3399999999999</v>
      </c>
      <c r="S41" s="176">
        <f t="shared" si="8"/>
        <v>796.62</v>
      </c>
      <c r="T41" s="176">
        <f t="shared" si="8"/>
        <v>719.1</v>
      </c>
      <c r="U41" s="177">
        <f t="shared" si="8"/>
        <v>1046.52</v>
      </c>
      <c r="V41" s="200"/>
      <c r="W41" s="199">
        <f t="shared" si="9"/>
        <v>518.66999999999996</v>
      </c>
      <c r="X41" s="176">
        <f t="shared" si="9"/>
        <v>398.31</v>
      </c>
      <c r="Y41" s="176">
        <f t="shared" si="9"/>
        <v>359.55</v>
      </c>
      <c r="Z41" s="177">
        <f t="shared" si="9"/>
        <v>523.26</v>
      </c>
      <c r="AA41" s="199" t="s">
        <v>307</v>
      </c>
      <c r="AB41" s="199">
        <f t="shared" si="2"/>
        <v>518.66999999999996</v>
      </c>
      <c r="AC41" s="176">
        <f t="shared" si="3"/>
        <v>398.31</v>
      </c>
      <c r="AD41" s="176">
        <f t="shared" si="4"/>
        <v>359.55</v>
      </c>
      <c r="AE41" s="177">
        <f t="shared" si="5"/>
        <v>523.26</v>
      </c>
    </row>
    <row r="42" spans="1:31" x14ac:dyDescent="0.2">
      <c r="A42" s="86"/>
      <c r="B42" s="161" t="s">
        <v>148</v>
      </c>
      <c r="C42" s="160"/>
      <c r="E42" s="162" t="s">
        <v>55</v>
      </c>
      <c r="F42" s="163" t="s">
        <v>252</v>
      </c>
      <c r="G42" s="164" t="s">
        <v>54</v>
      </c>
      <c r="H42" s="165">
        <v>0.14000000000000001</v>
      </c>
      <c r="I42" s="166"/>
      <c r="J42" s="167"/>
      <c r="K42" s="168">
        <f t="shared" si="17"/>
        <v>0.14000000000000001</v>
      </c>
      <c r="L42" s="168">
        <v>8.01</v>
      </c>
      <c r="M42" s="169">
        <v>0.5</v>
      </c>
      <c r="N42" s="170">
        <f t="shared" si="18"/>
        <v>4.01</v>
      </c>
      <c r="O42" s="197">
        <f t="shared" si="19"/>
        <v>3</v>
      </c>
      <c r="P42" s="198">
        <f t="shared" si="1"/>
        <v>0.42</v>
      </c>
      <c r="Q42" s="172"/>
      <c r="R42" s="199">
        <f t="shared" si="8"/>
        <v>854.28</v>
      </c>
      <c r="S42" s="176">
        <f t="shared" si="8"/>
        <v>656.04</v>
      </c>
      <c r="T42" s="176">
        <f t="shared" si="8"/>
        <v>592.19999999999993</v>
      </c>
      <c r="U42" s="177">
        <f t="shared" si="8"/>
        <v>861.83999999999992</v>
      </c>
      <c r="V42" s="200"/>
      <c r="W42" s="199">
        <f t="shared" si="9"/>
        <v>427.14</v>
      </c>
      <c r="X42" s="176">
        <f t="shared" si="9"/>
        <v>328.02</v>
      </c>
      <c r="Y42" s="176">
        <f t="shared" si="9"/>
        <v>296.09999999999997</v>
      </c>
      <c r="Z42" s="177">
        <f t="shared" si="9"/>
        <v>430.91999999999996</v>
      </c>
      <c r="AA42" s="199" t="s">
        <v>307</v>
      </c>
      <c r="AB42" s="199">
        <f t="shared" si="2"/>
        <v>427.14</v>
      </c>
      <c r="AC42" s="176">
        <f t="shared" si="3"/>
        <v>328.02</v>
      </c>
      <c r="AD42" s="176">
        <f t="shared" si="4"/>
        <v>296.09999999999997</v>
      </c>
      <c r="AE42" s="177">
        <f t="shared" si="5"/>
        <v>430.91999999999996</v>
      </c>
    </row>
    <row r="43" spans="1:31" x14ac:dyDescent="0.2">
      <c r="A43" s="86"/>
      <c r="B43" s="161" t="s">
        <v>149</v>
      </c>
      <c r="C43" s="160"/>
      <c r="E43" s="162" t="s">
        <v>56</v>
      </c>
      <c r="F43" s="163" t="s">
        <v>253</v>
      </c>
      <c r="G43" s="164" t="s">
        <v>54</v>
      </c>
      <c r="H43" s="165">
        <v>0.11</v>
      </c>
      <c r="I43" s="166"/>
      <c r="J43" s="167"/>
      <c r="K43" s="241">
        <f t="shared" si="17"/>
        <v>0.11</v>
      </c>
      <c r="L43" s="168">
        <v>8.01</v>
      </c>
      <c r="M43" s="169">
        <v>0.5</v>
      </c>
      <c r="N43" s="170">
        <f t="shared" si="18"/>
        <v>4.01</v>
      </c>
      <c r="O43" s="197">
        <f t="shared" si="19"/>
        <v>3</v>
      </c>
      <c r="P43" s="198">
        <f t="shared" si="1"/>
        <v>0.33</v>
      </c>
      <c r="Q43" s="172"/>
      <c r="R43" s="199">
        <f t="shared" si="8"/>
        <v>671.22</v>
      </c>
      <c r="S43" s="176">
        <f t="shared" si="8"/>
        <v>515.46</v>
      </c>
      <c r="T43" s="176">
        <f t="shared" si="8"/>
        <v>465.3</v>
      </c>
      <c r="U43" s="177">
        <f t="shared" si="8"/>
        <v>677.16000000000008</v>
      </c>
      <c r="V43" s="200"/>
      <c r="W43" s="199">
        <f t="shared" si="9"/>
        <v>335.61</v>
      </c>
      <c r="X43" s="176">
        <f t="shared" si="9"/>
        <v>257.73</v>
      </c>
      <c r="Y43" s="176">
        <f t="shared" si="9"/>
        <v>232.65</v>
      </c>
      <c r="Z43" s="177">
        <f t="shared" si="9"/>
        <v>338.58000000000004</v>
      </c>
      <c r="AA43" s="199" t="s">
        <v>307</v>
      </c>
      <c r="AB43" s="199">
        <f t="shared" si="2"/>
        <v>335.61</v>
      </c>
      <c r="AC43" s="176">
        <f t="shared" si="3"/>
        <v>257.73</v>
      </c>
      <c r="AD43" s="176">
        <f t="shared" si="4"/>
        <v>232.65</v>
      </c>
      <c r="AE43" s="177">
        <f t="shared" si="5"/>
        <v>338.58000000000004</v>
      </c>
    </row>
    <row r="44" spans="1:31" ht="13.5" thickBot="1" x14ac:dyDescent="0.25">
      <c r="A44" s="86"/>
      <c r="B44" s="225" t="s">
        <v>57</v>
      </c>
      <c r="C44" s="214"/>
      <c r="E44" s="226" t="s">
        <v>58</v>
      </c>
      <c r="F44" s="227" t="s">
        <v>254</v>
      </c>
      <c r="G44" s="228" t="s">
        <v>54</v>
      </c>
      <c r="H44" s="229">
        <v>0.15</v>
      </c>
      <c r="I44" s="230"/>
      <c r="J44" s="231"/>
      <c r="K44" s="242">
        <f t="shared" si="17"/>
        <v>0.15</v>
      </c>
      <c r="L44" s="232">
        <v>8.01</v>
      </c>
      <c r="M44" s="233">
        <v>0.5</v>
      </c>
      <c r="N44" s="234">
        <f t="shared" si="18"/>
        <v>4.01</v>
      </c>
      <c r="O44" s="234">
        <f t="shared" si="19"/>
        <v>3</v>
      </c>
      <c r="P44" s="235">
        <f t="shared" si="1"/>
        <v>0.45</v>
      </c>
      <c r="Q44" s="172"/>
      <c r="R44" s="236">
        <f t="shared" si="8"/>
        <v>915.30000000000007</v>
      </c>
      <c r="S44" s="192">
        <f t="shared" si="8"/>
        <v>702.9</v>
      </c>
      <c r="T44" s="192">
        <f t="shared" si="8"/>
        <v>634.5</v>
      </c>
      <c r="U44" s="193">
        <f t="shared" si="8"/>
        <v>923.4</v>
      </c>
      <c r="V44" s="200"/>
      <c r="W44" s="236">
        <f t="shared" si="9"/>
        <v>457.65000000000003</v>
      </c>
      <c r="X44" s="192">
        <f t="shared" si="9"/>
        <v>351.45</v>
      </c>
      <c r="Y44" s="192">
        <f t="shared" si="9"/>
        <v>317.25</v>
      </c>
      <c r="Z44" s="193">
        <f t="shared" si="9"/>
        <v>461.7</v>
      </c>
      <c r="AA44" s="199" t="s">
        <v>307</v>
      </c>
      <c r="AB44" s="236">
        <f t="shared" si="2"/>
        <v>457.65000000000003</v>
      </c>
      <c r="AC44" s="192">
        <f t="shared" si="3"/>
        <v>351.45</v>
      </c>
      <c r="AD44" s="192">
        <f t="shared" si="4"/>
        <v>317.25</v>
      </c>
      <c r="AE44" s="193">
        <f t="shared" si="5"/>
        <v>461.7</v>
      </c>
    </row>
    <row r="45" spans="1:31" x14ac:dyDescent="0.2">
      <c r="A45" s="86"/>
      <c r="B45" s="205" t="s">
        <v>59</v>
      </c>
      <c r="C45" s="246"/>
      <c r="D45" s="247"/>
      <c r="E45" s="208"/>
      <c r="F45" s="141"/>
      <c r="G45" s="142"/>
      <c r="H45" s="143"/>
      <c r="I45" s="144"/>
      <c r="J45" s="145"/>
      <c r="K45" s="146"/>
      <c r="L45" s="147"/>
      <c r="M45" s="148"/>
      <c r="N45" s="149"/>
      <c r="O45" s="209"/>
      <c r="P45" s="210"/>
      <c r="Q45" s="172"/>
      <c r="R45" s="237"/>
      <c r="S45" s="238"/>
      <c r="T45" s="238"/>
      <c r="U45" s="239"/>
      <c r="V45" s="200"/>
      <c r="W45" s="237"/>
      <c r="X45" s="238"/>
      <c r="Y45" s="238"/>
      <c r="Z45" s="239"/>
      <c r="AA45" s="199" t="s">
        <v>307</v>
      </c>
      <c r="AB45" s="237"/>
      <c r="AC45" s="238"/>
      <c r="AD45" s="238"/>
      <c r="AE45" s="239"/>
    </row>
    <row r="46" spans="1:31" x14ac:dyDescent="0.2">
      <c r="A46" s="86"/>
      <c r="B46" s="161" t="s">
        <v>60</v>
      </c>
      <c r="C46" s="160"/>
      <c r="E46" s="162" t="s">
        <v>61</v>
      </c>
      <c r="F46" s="163" t="s">
        <v>255</v>
      </c>
      <c r="G46" s="164" t="s">
        <v>13</v>
      </c>
      <c r="H46" s="165">
        <v>3.28</v>
      </c>
      <c r="I46" s="166"/>
      <c r="J46" s="167"/>
      <c r="K46" s="241">
        <f>ROUND(H46*(1-I46),2)</f>
        <v>3.28</v>
      </c>
      <c r="L46" s="168">
        <v>5.62</v>
      </c>
      <c r="M46" s="169">
        <v>0.5</v>
      </c>
      <c r="N46" s="170">
        <f>ROUND(L46*M46,2)</f>
        <v>2.81</v>
      </c>
      <c r="O46" s="197">
        <f>MIN($O$4,N46)</f>
        <v>2.81</v>
      </c>
      <c r="P46" s="198">
        <f t="shared" si="1"/>
        <v>9.2200000000000006</v>
      </c>
      <c r="Q46" s="172"/>
      <c r="R46" s="199">
        <f t="shared" si="8"/>
        <v>18753.48</v>
      </c>
      <c r="S46" s="176">
        <f t="shared" si="8"/>
        <v>14401.640000000001</v>
      </c>
      <c r="T46" s="176">
        <f t="shared" si="8"/>
        <v>13000.2</v>
      </c>
      <c r="U46" s="177">
        <f t="shared" si="8"/>
        <v>18919.440000000002</v>
      </c>
      <c r="V46" s="200"/>
      <c r="W46" s="199">
        <f t="shared" si="9"/>
        <v>9376.74</v>
      </c>
      <c r="X46" s="176">
        <f t="shared" si="9"/>
        <v>7200.8200000000006</v>
      </c>
      <c r="Y46" s="176">
        <f t="shared" si="9"/>
        <v>6500.1</v>
      </c>
      <c r="Z46" s="177">
        <f t="shared" si="9"/>
        <v>9459.7200000000012</v>
      </c>
      <c r="AA46" s="199" t="s">
        <v>307</v>
      </c>
      <c r="AB46" s="199">
        <f t="shared" si="2"/>
        <v>9376.74</v>
      </c>
      <c r="AC46" s="176">
        <f t="shared" si="3"/>
        <v>7200.8200000000006</v>
      </c>
      <c r="AD46" s="176">
        <f t="shared" si="4"/>
        <v>6500.1</v>
      </c>
      <c r="AE46" s="177">
        <f t="shared" si="5"/>
        <v>9459.7200000000012</v>
      </c>
    </row>
    <row r="47" spans="1:31" x14ac:dyDescent="0.2">
      <c r="A47" s="86"/>
      <c r="B47" s="161" t="s">
        <v>62</v>
      </c>
      <c r="C47" s="160"/>
      <c r="E47" s="162" t="s">
        <v>63</v>
      </c>
      <c r="F47" s="163" t="s">
        <v>256</v>
      </c>
      <c r="G47" s="164" t="s">
        <v>13</v>
      </c>
      <c r="H47" s="165">
        <v>0.97</v>
      </c>
      <c r="I47" s="166"/>
      <c r="J47" s="167"/>
      <c r="K47" s="241">
        <f>ROUND(H47*(1-I47),2)</f>
        <v>0.97</v>
      </c>
      <c r="L47" s="168">
        <v>5.62</v>
      </c>
      <c r="M47" s="169">
        <v>0.5</v>
      </c>
      <c r="N47" s="170">
        <f>ROUND(L47*M47,2)</f>
        <v>2.81</v>
      </c>
      <c r="O47" s="197">
        <f>MIN($O$4,N47)</f>
        <v>2.81</v>
      </c>
      <c r="P47" s="198">
        <f t="shared" si="1"/>
        <v>2.73</v>
      </c>
      <c r="Q47" s="172"/>
      <c r="R47" s="199">
        <f t="shared" si="8"/>
        <v>5552.82</v>
      </c>
      <c r="S47" s="176">
        <f t="shared" si="8"/>
        <v>4264.26</v>
      </c>
      <c r="T47" s="176">
        <f t="shared" si="8"/>
        <v>3849.3</v>
      </c>
      <c r="U47" s="177">
        <f t="shared" si="8"/>
        <v>5601.96</v>
      </c>
      <c r="V47" s="200"/>
      <c r="W47" s="199">
        <f t="shared" si="9"/>
        <v>2776.41</v>
      </c>
      <c r="X47" s="176">
        <f t="shared" si="9"/>
        <v>2132.13</v>
      </c>
      <c r="Y47" s="176">
        <f t="shared" si="9"/>
        <v>1924.65</v>
      </c>
      <c r="Z47" s="177">
        <f t="shared" si="9"/>
        <v>2800.98</v>
      </c>
      <c r="AA47" s="199" t="s">
        <v>307</v>
      </c>
      <c r="AB47" s="199">
        <f t="shared" si="2"/>
        <v>2776.41</v>
      </c>
      <c r="AC47" s="176">
        <f t="shared" si="3"/>
        <v>2132.13</v>
      </c>
      <c r="AD47" s="176">
        <f t="shared" si="4"/>
        <v>1924.65</v>
      </c>
      <c r="AE47" s="177">
        <f t="shared" si="5"/>
        <v>2800.98</v>
      </c>
    </row>
    <row r="48" spans="1:31" x14ac:dyDescent="0.2">
      <c r="A48" s="86"/>
      <c r="B48" s="161" t="s">
        <v>65</v>
      </c>
      <c r="C48" s="214"/>
      <c r="E48" s="162" t="s">
        <v>66</v>
      </c>
      <c r="F48" s="163" t="s">
        <v>257</v>
      </c>
      <c r="G48" s="164" t="s">
        <v>64</v>
      </c>
      <c r="H48" s="165">
        <v>0.22</v>
      </c>
      <c r="I48" s="166"/>
      <c r="J48" s="167"/>
      <c r="K48" s="241">
        <f>ROUND(H48*(1-I48),2)</f>
        <v>0.22</v>
      </c>
      <c r="L48" s="168">
        <v>5.62</v>
      </c>
      <c r="M48" s="169">
        <v>0.5</v>
      </c>
      <c r="N48" s="170">
        <f>ROUND(L48*M48,2)</f>
        <v>2.81</v>
      </c>
      <c r="O48" s="170">
        <f>MIN($O$4,N48)</f>
        <v>2.81</v>
      </c>
      <c r="P48" s="171">
        <f t="shared" si="1"/>
        <v>0.62</v>
      </c>
      <c r="Q48" s="172"/>
      <c r="R48" s="199">
        <f t="shared" si="8"/>
        <v>1261.08</v>
      </c>
      <c r="S48" s="176">
        <f t="shared" si="8"/>
        <v>968.43999999999994</v>
      </c>
      <c r="T48" s="176">
        <f t="shared" si="8"/>
        <v>874.2</v>
      </c>
      <c r="U48" s="177">
        <f t="shared" si="8"/>
        <v>1272.24</v>
      </c>
      <c r="V48" s="200"/>
      <c r="W48" s="199">
        <f t="shared" si="9"/>
        <v>630.54</v>
      </c>
      <c r="X48" s="176">
        <f t="shared" si="9"/>
        <v>484.21999999999997</v>
      </c>
      <c r="Y48" s="176">
        <f t="shared" si="9"/>
        <v>437.1</v>
      </c>
      <c r="Z48" s="177">
        <f t="shared" si="9"/>
        <v>636.12</v>
      </c>
      <c r="AA48" s="199" t="s">
        <v>307</v>
      </c>
      <c r="AB48" s="199">
        <f t="shared" si="2"/>
        <v>630.54</v>
      </c>
      <c r="AC48" s="176">
        <f t="shared" si="3"/>
        <v>484.21999999999997</v>
      </c>
      <c r="AD48" s="176">
        <f t="shared" si="4"/>
        <v>437.1</v>
      </c>
      <c r="AE48" s="177">
        <f t="shared" si="5"/>
        <v>636.12</v>
      </c>
    </row>
    <row r="49" spans="1:31" ht="13.5" thickBot="1" x14ac:dyDescent="0.25">
      <c r="A49" s="86"/>
      <c r="B49" s="180" t="s">
        <v>150</v>
      </c>
      <c r="C49" s="224"/>
      <c r="E49" s="243" t="s">
        <v>151</v>
      </c>
      <c r="F49" s="182" t="s">
        <v>257</v>
      </c>
      <c r="G49" s="228" t="s">
        <v>13</v>
      </c>
      <c r="H49" s="184">
        <v>3.53</v>
      </c>
      <c r="I49" s="185">
        <v>0.3</v>
      </c>
      <c r="J49" s="186" t="s">
        <v>4</v>
      </c>
      <c r="K49" s="244">
        <f>ROUND(H49*(1-I49),2)</f>
        <v>2.4700000000000002</v>
      </c>
      <c r="L49" s="187">
        <v>5.62</v>
      </c>
      <c r="M49" s="188">
        <v>0.5</v>
      </c>
      <c r="N49" s="189">
        <f>ROUND(L49*M49,2)</f>
        <v>2.81</v>
      </c>
      <c r="O49" s="189">
        <f>MIN($O$4,N49)</f>
        <v>2.81</v>
      </c>
      <c r="P49" s="190">
        <f t="shared" si="1"/>
        <v>6.94</v>
      </c>
      <c r="Q49" s="172"/>
      <c r="R49" s="202">
        <f t="shared" si="8"/>
        <v>14115.960000000001</v>
      </c>
      <c r="S49" s="203">
        <f t="shared" si="8"/>
        <v>10840.28</v>
      </c>
      <c r="T49" s="203">
        <f t="shared" si="8"/>
        <v>9785.4000000000015</v>
      </c>
      <c r="U49" s="204">
        <f t="shared" si="8"/>
        <v>14240.880000000001</v>
      </c>
      <c r="V49" s="200"/>
      <c r="W49" s="202">
        <f t="shared" si="9"/>
        <v>7057.9800000000005</v>
      </c>
      <c r="X49" s="203">
        <f t="shared" si="9"/>
        <v>5420.14</v>
      </c>
      <c r="Y49" s="203">
        <f t="shared" si="9"/>
        <v>4892.7000000000007</v>
      </c>
      <c r="Z49" s="204">
        <f t="shared" si="9"/>
        <v>7120.4400000000005</v>
      </c>
      <c r="AA49" s="199" t="s">
        <v>307</v>
      </c>
      <c r="AB49" s="202">
        <f t="shared" si="2"/>
        <v>7057.9800000000005</v>
      </c>
      <c r="AC49" s="203">
        <f t="shared" si="3"/>
        <v>5420.14</v>
      </c>
      <c r="AD49" s="203">
        <f t="shared" si="4"/>
        <v>4892.7000000000007</v>
      </c>
      <c r="AE49" s="204">
        <f t="shared" si="5"/>
        <v>7120.4400000000005</v>
      </c>
    </row>
    <row r="50" spans="1:31" x14ac:dyDescent="0.2">
      <c r="A50" s="86"/>
      <c r="B50" s="245" t="s">
        <v>67</v>
      </c>
      <c r="C50" s="246"/>
      <c r="D50" s="247"/>
      <c r="E50" s="248"/>
      <c r="F50" s="249"/>
      <c r="G50" s="250"/>
      <c r="H50" s="251"/>
      <c r="I50" s="252"/>
      <c r="J50" s="253"/>
      <c r="K50" s="254"/>
      <c r="L50" s="255"/>
      <c r="M50" s="256"/>
      <c r="N50" s="257"/>
      <c r="O50" s="258"/>
      <c r="P50" s="259"/>
      <c r="Q50" s="172"/>
      <c r="R50" s="211"/>
      <c r="S50" s="212"/>
      <c r="T50" s="212"/>
      <c r="U50" s="213"/>
      <c r="V50" s="200"/>
      <c r="W50" s="211"/>
      <c r="X50" s="212"/>
      <c r="Y50" s="212"/>
      <c r="Z50" s="213"/>
      <c r="AA50" s="199" t="s">
        <v>307</v>
      </c>
      <c r="AB50" s="211"/>
      <c r="AC50" s="212"/>
      <c r="AD50" s="212"/>
      <c r="AE50" s="213"/>
    </row>
    <row r="51" spans="1:31" x14ac:dyDescent="0.2">
      <c r="A51" s="86"/>
      <c r="B51" s="161" t="s">
        <v>68</v>
      </c>
      <c r="C51" s="160"/>
      <c r="E51" s="162" t="s">
        <v>69</v>
      </c>
      <c r="F51" s="163" t="s">
        <v>258</v>
      </c>
      <c r="G51" s="164" t="s">
        <v>13</v>
      </c>
      <c r="H51" s="165">
        <v>0.6</v>
      </c>
      <c r="I51" s="166"/>
      <c r="J51" s="167"/>
      <c r="K51" s="241">
        <f>ROUND(H51*(1-I51),2)</f>
        <v>0.6</v>
      </c>
      <c r="L51" s="168">
        <v>6.39</v>
      </c>
      <c r="M51" s="169">
        <v>0.5</v>
      </c>
      <c r="N51" s="170">
        <f>ROUND(L51*M51,2)</f>
        <v>3.2</v>
      </c>
      <c r="O51" s="197">
        <f>MIN($O$4,N51)</f>
        <v>3</v>
      </c>
      <c r="P51" s="198">
        <f t="shared" si="1"/>
        <v>1.8</v>
      </c>
      <c r="Q51" s="172"/>
      <c r="R51" s="199">
        <f t="shared" si="8"/>
        <v>3661.2000000000003</v>
      </c>
      <c r="S51" s="176">
        <f t="shared" si="8"/>
        <v>2811.6</v>
      </c>
      <c r="T51" s="176">
        <f t="shared" si="8"/>
        <v>2538</v>
      </c>
      <c r="U51" s="177">
        <f t="shared" si="8"/>
        <v>3693.6</v>
      </c>
      <c r="V51" s="200"/>
      <c r="W51" s="199">
        <f t="shared" si="9"/>
        <v>1830.6000000000001</v>
      </c>
      <c r="X51" s="176">
        <f t="shared" si="9"/>
        <v>1405.8</v>
      </c>
      <c r="Y51" s="176">
        <f t="shared" si="9"/>
        <v>1269</v>
      </c>
      <c r="Z51" s="177">
        <f t="shared" si="9"/>
        <v>1846.8</v>
      </c>
      <c r="AA51" s="199" t="s">
        <v>307</v>
      </c>
      <c r="AB51" s="199">
        <f t="shared" si="2"/>
        <v>1830.6000000000001</v>
      </c>
      <c r="AC51" s="176">
        <f t="shared" si="3"/>
        <v>1405.8</v>
      </c>
      <c r="AD51" s="176">
        <f t="shared" si="4"/>
        <v>1269</v>
      </c>
      <c r="AE51" s="177">
        <f t="shared" si="5"/>
        <v>1846.8</v>
      </c>
    </row>
    <row r="52" spans="1:31" x14ac:dyDescent="0.2">
      <c r="A52" s="86"/>
      <c r="B52" s="161" t="s">
        <v>70</v>
      </c>
      <c r="C52" s="160"/>
      <c r="E52" s="162" t="s">
        <v>71</v>
      </c>
      <c r="F52" s="163" t="s">
        <v>259</v>
      </c>
      <c r="G52" s="164" t="s">
        <v>13</v>
      </c>
      <c r="H52" s="165">
        <v>1.1499999999999999</v>
      </c>
      <c r="I52" s="166"/>
      <c r="J52" s="167"/>
      <c r="K52" s="241">
        <f>ROUND(H52*(1-I52),2)</f>
        <v>1.1499999999999999</v>
      </c>
      <c r="L52" s="168">
        <v>6.39</v>
      </c>
      <c r="M52" s="169">
        <v>0.5</v>
      </c>
      <c r="N52" s="170">
        <f>ROUND(L52*M52,2)</f>
        <v>3.2</v>
      </c>
      <c r="O52" s="197">
        <f>MIN($O$4,N52)</f>
        <v>3</v>
      </c>
      <c r="P52" s="198">
        <f t="shared" si="1"/>
        <v>3.45</v>
      </c>
      <c r="Q52" s="172"/>
      <c r="R52" s="199">
        <f t="shared" si="8"/>
        <v>7017.3</v>
      </c>
      <c r="S52" s="176">
        <f t="shared" si="8"/>
        <v>5388.9000000000005</v>
      </c>
      <c r="T52" s="176">
        <f t="shared" si="8"/>
        <v>4864.5</v>
      </c>
      <c r="U52" s="177">
        <f t="shared" si="8"/>
        <v>7079.4000000000005</v>
      </c>
      <c r="V52" s="200"/>
      <c r="W52" s="199">
        <f t="shared" si="9"/>
        <v>3508.65</v>
      </c>
      <c r="X52" s="176">
        <f t="shared" si="9"/>
        <v>2694.4500000000003</v>
      </c>
      <c r="Y52" s="176">
        <f t="shared" si="9"/>
        <v>2432.25</v>
      </c>
      <c r="Z52" s="177">
        <f t="shared" si="9"/>
        <v>3539.7000000000003</v>
      </c>
      <c r="AA52" s="199" t="s">
        <v>307</v>
      </c>
      <c r="AB52" s="199">
        <f t="shared" si="2"/>
        <v>3508.65</v>
      </c>
      <c r="AC52" s="176">
        <f t="shared" si="3"/>
        <v>2694.4500000000003</v>
      </c>
      <c r="AD52" s="176">
        <f t="shared" si="4"/>
        <v>2432.25</v>
      </c>
      <c r="AE52" s="177">
        <f t="shared" si="5"/>
        <v>3539.7000000000003</v>
      </c>
    </row>
    <row r="53" spans="1:31" x14ac:dyDescent="0.2">
      <c r="A53" s="86"/>
      <c r="B53" s="161" t="s">
        <v>152</v>
      </c>
      <c r="C53" s="160"/>
      <c r="E53" s="162" t="s">
        <v>72</v>
      </c>
      <c r="F53" s="163" t="s">
        <v>260</v>
      </c>
      <c r="G53" s="164" t="s">
        <v>13</v>
      </c>
      <c r="H53" s="165">
        <v>3.46</v>
      </c>
      <c r="I53" s="166"/>
      <c r="J53" s="167"/>
      <c r="K53" s="168">
        <f>ROUND(H53*(1-I53),2)</f>
        <v>3.46</v>
      </c>
      <c r="L53" s="168">
        <v>6.39</v>
      </c>
      <c r="M53" s="169">
        <v>0.5</v>
      </c>
      <c r="N53" s="170">
        <f>ROUND(L53*M53,2)</f>
        <v>3.2</v>
      </c>
      <c r="O53" s="197">
        <f>MIN($O$4,N53)</f>
        <v>3</v>
      </c>
      <c r="P53" s="198">
        <f t="shared" si="1"/>
        <v>10.38</v>
      </c>
      <c r="Q53" s="172"/>
      <c r="R53" s="199">
        <f t="shared" si="8"/>
        <v>21112.920000000002</v>
      </c>
      <c r="S53" s="176">
        <f t="shared" si="8"/>
        <v>16213.560000000001</v>
      </c>
      <c r="T53" s="176">
        <f t="shared" si="8"/>
        <v>14635.800000000001</v>
      </c>
      <c r="U53" s="177">
        <f t="shared" si="8"/>
        <v>21299.760000000002</v>
      </c>
      <c r="V53" s="200"/>
      <c r="W53" s="199">
        <f t="shared" si="9"/>
        <v>10556.460000000001</v>
      </c>
      <c r="X53" s="176">
        <f t="shared" si="9"/>
        <v>8106.7800000000007</v>
      </c>
      <c r="Y53" s="176">
        <f t="shared" si="9"/>
        <v>7317.9000000000005</v>
      </c>
      <c r="Z53" s="177">
        <f t="shared" si="9"/>
        <v>10649.880000000001</v>
      </c>
      <c r="AA53" s="199" t="s">
        <v>307</v>
      </c>
      <c r="AB53" s="199">
        <f t="shared" si="2"/>
        <v>10556.460000000001</v>
      </c>
      <c r="AC53" s="176">
        <f t="shared" si="3"/>
        <v>8106.7800000000007</v>
      </c>
      <c r="AD53" s="176">
        <f t="shared" si="4"/>
        <v>7317.9000000000005</v>
      </c>
      <c r="AE53" s="177">
        <f t="shared" si="5"/>
        <v>10649.880000000001</v>
      </c>
    </row>
    <row r="54" spans="1:31" x14ac:dyDescent="0.2">
      <c r="A54" s="86"/>
      <c r="B54" s="161" t="s">
        <v>73</v>
      </c>
      <c r="C54" s="160"/>
      <c r="E54" s="162" t="s">
        <v>74</v>
      </c>
      <c r="F54" s="163" t="s">
        <v>261</v>
      </c>
      <c r="G54" s="164" t="s">
        <v>13</v>
      </c>
      <c r="H54" s="165">
        <v>1.71</v>
      </c>
      <c r="I54" s="166"/>
      <c r="J54" s="167"/>
      <c r="K54" s="241">
        <f>ROUND(H54*(1-I54),2)</f>
        <v>1.71</v>
      </c>
      <c r="L54" s="168">
        <v>6.39</v>
      </c>
      <c r="M54" s="169">
        <v>0.5</v>
      </c>
      <c r="N54" s="170">
        <f>ROUND(L54*M54,2)</f>
        <v>3.2</v>
      </c>
      <c r="O54" s="197">
        <f>MIN($O$4,N54)</f>
        <v>3</v>
      </c>
      <c r="P54" s="198">
        <f t="shared" si="1"/>
        <v>5.13</v>
      </c>
      <c r="Q54" s="172"/>
      <c r="R54" s="199">
        <f t="shared" si="8"/>
        <v>10434.42</v>
      </c>
      <c r="S54" s="176">
        <f t="shared" si="8"/>
        <v>8013.0599999999995</v>
      </c>
      <c r="T54" s="176">
        <f t="shared" si="8"/>
        <v>7233.3</v>
      </c>
      <c r="U54" s="177">
        <f t="shared" si="8"/>
        <v>10526.76</v>
      </c>
      <c r="V54" s="200"/>
      <c r="W54" s="199">
        <f t="shared" si="9"/>
        <v>5217.21</v>
      </c>
      <c r="X54" s="176">
        <f t="shared" si="9"/>
        <v>4006.5299999999997</v>
      </c>
      <c r="Y54" s="176">
        <f t="shared" si="9"/>
        <v>3616.65</v>
      </c>
      <c r="Z54" s="177">
        <f t="shared" si="9"/>
        <v>5263.38</v>
      </c>
      <c r="AA54" s="199" t="s">
        <v>307</v>
      </c>
      <c r="AB54" s="199">
        <f t="shared" si="2"/>
        <v>5217.21</v>
      </c>
      <c r="AC54" s="176">
        <f t="shared" si="3"/>
        <v>4006.5299999999997</v>
      </c>
      <c r="AD54" s="176">
        <f t="shared" si="4"/>
        <v>3616.65</v>
      </c>
      <c r="AE54" s="177">
        <f t="shared" si="5"/>
        <v>5263.38</v>
      </c>
    </row>
    <row r="55" spans="1:31" ht="13.5" thickBot="1" x14ac:dyDescent="0.25">
      <c r="A55" s="86"/>
      <c r="B55" s="225" t="s">
        <v>153</v>
      </c>
      <c r="C55" s="224"/>
      <c r="E55" s="226" t="s">
        <v>75</v>
      </c>
      <c r="F55" s="227" t="s">
        <v>262</v>
      </c>
      <c r="G55" s="228" t="s">
        <v>13</v>
      </c>
      <c r="H55" s="229">
        <v>1.07</v>
      </c>
      <c r="I55" s="230"/>
      <c r="J55" s="231"/>
      <c r="K55" s="242">
        <f>ROUND(H55*(1-I55),2)</f>
        <v>1.07</v>
      </c>
      <c r="L55" s="232">
        <v>6.39</v>
      </c>
      <c r="M55" s="233">
        <v>0.5</v>
      </c>
      <c r="N55" s="234">
        <f>ROUND(L55*M55,2)</f>
        <v>3.2</v>
      </c>
      <c r="O55" s="234">
        <f>MIN($O$4,N55)</f>
        <v>3</v>
      </c>
      <c r="P55" s="235">
        <f t="shared" si="1"/>
        <v>3.21</v>
      </c>
      <c r="Q55" s="172"/>
      <c r="R55" s="236">
        <f t="shared" si="8"/>
        <v>6529.14</v>
      </c>
      <c r="S55" s="192">
        <f t="shared" si="8"/>
        <v>5014.0199999999995</v>
      </c>
      <c r="T55" s="192">
        <f t="shared" si="8"/>
        <v>4526.1000000000004</v>
      </c>
      <c r="U55" s="193">
        <f t="shared" si="8"/>
        <v>6586.92</v>
      </c>
      <c r="V55" s="200"/>
      <c r="W55" s="236">
        <f t="shared" si="9"/>
        <v>3264.57</v>
      </c>
      <c r="X55" s="192">
        <f t="shared" si="9"/>
        <v>2507.0099999999998</v>
      </c>
      <c r="Y55" s="192">
        <f t="shared" si="9"/>
        <v>2263.0500000000002</v>
      </c>
      <c r="Z55" s="193">
        <f t="shared" si="9"/>
        <v>3293.46</v>
      </c>
      <c r="AA55" s="199" t="s">
        <v>307</v>
      </c>
      <c r="AB55" s="236">
        <f t="shared" si="2"/>
        <v>3264.57</v>
      </c>
      <c r="AC55" s="192">
        <f t="shared" si="3"/>
        <v>2507.0099999999998</v>
      </c>
      <c r="AD55" s="192">
        <f t="shared" si="4"/>
        <v>2263.0500000000002</v>
      </c>
      <c r="AE55" s="193">
        <f t="shared" si="5"/>
        <v>3293.46</v>
      </c>
    </row>
    <row r="56" spans="1:31" x14ac:dyDescent="0.2">
      <c r="A56" s="86"/>
      <c r="B56" s="205" t="s">
        <v>76</v>
      </c>
      <c r="C56" s="206"/>
      <c r="D56" s="247"/>
      <c r="E56" s="208"/>
      <c r="F56" s="141"/>
      <c r="G56" s="142"/>
      <c r="H56" s="143"/>
      <c r="I56" s="144"/>
      <c r="J56" s="145"/>
      <c r="K56" s="146"/>
      <c r="L56" s="147"/>
      <c r="M56" s="148"/>
      <c r="N56" s="149"/>
      <c r="O56" s="209"/>
      <c r="P56" s="210"/>
      <c r="Q56" s="172"/>
      <c r="R56" s="237"/>
      <c r="S56" s="238"/>
      <c r="T56" s="238"/>
      <c r="U56" s="239"/>
      <c r="V56" s="200"/>
      <c r="W56" s="237"/>
      <c r="X56" s="238"/>
      <c r="Y56" s="238"/>
      <c r="Z56" s="239"/>
      <c r="AA56" s="199" t="s">
        <v>307</v>
      </c>
      <c r="AB56" s="237"/>
      <c r="AC56" s="238"/>
      <c r="AD56" s="238"/>
      <c r="AE56" s="239"/>
    </row>
    <row r="57" spans="1:31" x14ac:dyDescent="0.2">
      <c r="A57" s="86"/>
      <c r="B57" s="285" t="s">
        <v>292</v>
      </c>
      <c r="C57" s="260"/>
      <c r="E57" s="162"/>
      <c r="F57" s="163"/>
      <c r="G57" s="164"/>
      <c r="H57" s="165"/>
      <c r="I57" s="166"/>
      <c r="J57" s="167"/>
      <c r="K57" s="241"/>
      <c r="L57" s="168"/>
      <c r="M57" s="169"/>
      <c r="N57" s="170"/>
      <c r="O57" s="197"/>
      <c r="P57" s="198"/>
      <c r="Q57" s="172"/>
      <c r="R57" s="199"/>
      <c r="S57" s="176"/>
      <c r="T57" s="176"/>
      <c r="U57" s="177"/>
      <c r="V57" s="200"/>
      <c r="W57" s="199"/>
      <c r="X57" s="176"/>
      <c r="Y57" s="176"/>
      <c r="Z57" s="177"/>
      <c r="AA57" s="199" t="s">
        <v>307</v>
      </c>
      <c r="AB57" s="199"/>
      <c r="AC57" s="176"/>
      <c r="AD57" s="176"/>
      <c r="AE57" s="177"/>
    </row>
    <row r="58" spans="1:31" x14ac:dyDescent="0.2">
      <c r="A58" s="86"/>
      <c r="B58" s="161" t="s">
        <v>77</v>
      </c>
      <c r="C58" s="160"/>
      <c r="E58" s="162" t="s">
        <v>78</v>
      </c>
      <c r="F58" s="163" t="s">
        <v>263</v>
      </c>
      <c r="G58" s="164" t="s">
        <v>13</v>
      </c>
      <c r="H58" s="165">
        <v>3.11</v>
      </c>
      <c r="I58" s="166">
        <v>0.4</v>
      </c>
      <c r="J58" s="167" t="s">
        <v>4</v>
      </c>
      <c r="K58" s="241">
        <f t="shared" ref="K58:K65" si="20">ROUND(H58*(1-I58),2)</f>
        <v>1.87</v>
      </c>
      <c r="L58" s="168">
        <v>4.45</v>
      </c>
      <c r="M58" s="169">
        <v>0.5</v>
      </c>
      <c r="N58" s="168">
        <f t="shared" ref="N58:N65" si="21">ROUND(L58*M58,2)</f>
        <v>2.23</v>
      </c>
      <c r="O58" s="170">
        <f t="shared" ref="O58:O65" si="22">MIN($O$4,N58)</f>
        <v>2.23</v>
      </c>
      <c r="P58" s="171">
        <f t="shared" si="1"/>
        <v>4.17</v>
      </c>
      <c r="Q58" s="172"/>
      <c r="R58" s="199">
        <f t="shared" si="8"/>
        <v>8481.7800000000007</v>
      </c>
      <c r="S58" s="176">
        <f t="shared" si="8"/>
        <v>6513.54</v>
      </c>
      <c r="T58" s="176">
        <f t="shared" si="8"/>
        <v>5879.7</v>
      </c>
      <c r="U58" s="177">
        <f t="shared" si="8"/>
        <v>8556.84</v>
      </c>
      <c r="V58" s="200"/>
      <c r="W58" s="199">
        <f t="shared" si="9"/>
        <v>4240.8900000000003</v>
      </c>
      <c r="X58" s="176">
        <f t="shared" si="9"/>
        <v>3256.77</v>
      </c>
      <c r="Y58" s="176">
        <f t="shared" si="9"/>
        <v>2939.85</v>
      </c>
      <c r="Z58" s="177">
        <f t="shared" si="9"/>
        <v>4278.42</v>
      </c>
      <c r="AA58" s="199" t="s">
        <v>307</v>
      </c>
      <c r="AB58" s="199">
        <f t="shared" si="2"/>
        <v>4240.8900000000003</v>
      </c>
      <c r="AC58" s="176">
        <f t="shared" si="3"/>
        <v>3256.77</v>
      </c>
      <c r="AD58" s="176">
        <f t="shared" si="4"/>
        <v>2939.85</v>
      </c>
      <c r="AE58" s="177">
        <f t="shared" si="5"/>
        <v>4278.42</v>
      </c>
    </row>
    <row r="59" spans="1:31" x14ac:dyDescent="0.2">
      <c r="A59" s="86"/>
      <c r="B59" s="161" t="s">
        <v>79</v>
      </c>
      <c r="C59" s="160"/>
      <c r="E59" s="162" t="s">
        <v>80</v>
      </c>
      <c r="F59" s="163" t="s">
        <v>264</v>
      </c>
      <c r="G59" s="164" t="s">
        <v>13</v>
      </c>
      <c r="H59" s="165">
        <v>4.91</v>
      </c>
      <c r="I59" s="166">
        <v>0.43</v>
      </c>
      <c r="J59" s="167" t="s">
        <v>3</v>
      </c>
      <c r="K59" s="241">
        <f t="shared" si="20"/>
        <v>2.8</v>
      </c>
      <c r="L59" s="168">
        <v>4.45</v>
      </c>
      <c r="M59" s="169">
        <v>0.5</v>
      </c>
      <c r="N59" s="168">
        <f t="shared" si="21"/>
        <v>2.23</v>
      </c>
      <c r="O59" s="170">
        <f t="shared" si="22"/>
        <v>2.23</v>
      </c>
      <c r="P59" s="171">
        <f t="shared" si="1"/>
        <v>6.24</v>
      </c>
      <c r="Q59" s="172"/>
      <c r="R59" s="199">
        <f t="shared" si="8"/>
        <v>12692.16</v>
      </c>
      <c r="S59" s="176">
        <f t="shared" si="8"/>
        <v>9746.880000000001</v>
      </c>
      <c r="T59" s="176">
        <f t="shared" si="8"/>
        <v>8798.4</v>
      </c>
      <c r="U59" s="177">
        <f t="shared" si="8"/>
        <v>12804.48</v>
      </c>
      <c r="V59" s="200"/>
      <c r="W59" s="199">
        <f t="shared" si="9"/>
        <v>6346.08</v>
      </c>
      <c r="X59" s="176">
        <f t="shared" si="9"/>
        <v>4873.4400000000005</v>
      </c>
      <c r="Y59" s="176">
        <f t="shared" si="9"/>
        <v>4399.2</v>
      </c>
      <c r="Z59" s="177">
        <f t="shared" si="9"/>
        <v>6402.24</v>
      </c>
      <c r="AA59" s="199" t="s">
        <v>307</v>
      </c>
      <c r="AB59" s="199">
        <f t="shared" si="2"/>
        <v>6346.08</v>
      </c>
      <c r="AC59" s="176">
        <f t="shared" si="3"/>
        <v>4873.4400000000005</v>
      </c>
      <c r="AD59" s="176">
        <f t="shared" si="4"/>
        <v>4399.2</v>
      </c>
      <c r="AE59" s="177">
        <f t="shared" si="5"/>
        <v>6402.24</v>
      </c>
    </row>
    <row r="60" spans="1:31" x14ac:dyDescent="0.2">
      <c r="A60" s="86"/>
      <c r="B60" s="161" t="s">
        <v>81</v>
      </c>
      <c r="C60" s="160"/>
      <c r="E60" s="162" t="s">
        <v>82</v>
      </c>
      <c r="F60" s="163" t="s">
        <v>265</v>
      </c>
      <c r="G60" s="164" t="s">
        <v>155</v>
      </c>
      <c r="H60" s="165">
        <v>14.03</v>
      </c>
      <c r="I60" s="166">
        <v>0.42</v>
      </c>
      <c r="J60" s="167" t="s">
        <v>3</v>
      </c>
      <c r="K60" s="168">
        <f t="shared" si="20"/>
        <v>8.14</v>
      </c>
      <c r="L60" s="168">
        <v>1.2</v>
      </c>
      <c r="M60" s="169">
        <v>0.5</v>
      </c>
      <c r="N60" s="168">
        <f t="shared" si="21"/>
        <v>0.6</v>
      </c>
      <c r="O60" s="170">
        <f t="shared" si="22"/>
        <v>0.6</v>
      </c>
      <c r="P60" s="171">
        <f t="shared" si="1"/>
        <v>4.88</v>
      </c>
      <c r="Q60" s="172"/>
      <c r="R60" s="199">
        <f t="shared" si="8"/>
        <v>9925.92</v>
      </c>
      <c r="S60" s="176">
        <f t="shared" si="8"/>
        <v>7622.5599999999995</v>
      </c>
      <c r="T60" s="176">
        <f t="shared" si="8"/>
        <v>6880.8</v>
      </c>
      <c r="U60" s="177">
        <f t="shared" si="8"/>
        <v>10013.76</v>
      </c>
      <c r="V60" s="200"/>
      <c r="W60" s="199">
        <f t="shared" si="9"/>
        <v>4962.96</v>
      </c>
      <c r="X60" s="176">
        <f t="shared" si="9"/>
        <v>3811.2799999999997</v>
      </c>
      <c r="Y60" s="176">
        <f t="shared" si="9"/>
        <v>3440.4</v>
      </c>
      <c r="Z60" s="177">
        <f t="shared" si="9"/>
        <v>5006.88</v>
      </c>
      <c r="AA60" s="199" t="s">
        <v>307</v>
      </c>
      <c r="AB60" s="199">
        <f t="shared" si="2"/>
        <v>4962.96</v>
      </c>
      <c r="AC60" s="176">
        <f t="shared" si="3"/>
        <v>3811.2799999999997</v>
      </c>
      <c r="AD60" s="176">
        <f t="shared" si="4"/>
        <v>3440.4</v>
      </c>
      <c r="AE60" s="177">
        <f t="shared" si="5"/>
        <v>5006.88</v>
      </c>
    </row>
    <row r="61" spans="1:31" x14ac:dyDescent="0.2">
      <c r="A61" s="86"/>
      <c r="B61" s="161" t="s">
        <v>156</v>
      </c>
      <c r="C61" s="160"/>
      <c r="E61" s="162" t="s">
        <v>83</v>
      </c>
      <c r="F61" s="163" t="s">
        <v>266</v>
      </c>
      <c r="G61" s="164" t="s">
        <v>155</v>
      </c>
      <c r="H61" s="165">
        <v>13.99</v>
      </c>
      <c r="I61" s="166">
        <v>0.56000000000000005</v>
      </c>
      <c r="J61" s="167" t="s">
        <v>4</v>
      </c>
      <c r="K61" s="168">
        <f t="shared" si="20"/>
        <v>6.16</v>
      </c>
      <c r="L61" s="168">
        <v>1.2</v>
      </c>
      <c r="M61" s="169">
        <v>0.5</v>
      </c>
      <c r="N61" s="168">
        <f t="shared" si="21"/>
        <v>0.6</v>
      </c>
      <c r="O61" s="170">
        <f t="shared" si="22"/>
        <v>0.6</v>
      </c>
      <c r="P61" s="171">
        <f t="shared" si="1"/>
        <v>3.7</v>
      </c>
      <c r="Q61" s="172"/>
      <c r="R61" s="199">
        <f t="shared" si="8"/>
        <v>7525.8</v>
      </c>
      <c r="S61" s="176">
        <f t="shared" si="8"/>
        <v>5779.4000000000005</v>
      </c>
      <c r="T61" s="176">
        <f t="shared" si="8"/>
        <v>5217</v>
      </c>
      <c r="U61" s="177">
        <f t="shared" si="8"/>
        <v>7592.4000000000005</v>
      </c>
      <c r="V61" s="200"/>
      <c r="W61" s="199">
        <f t="shared" si="9"/>
        <v>3762.9</v>
      </c>
      <c r="X61" s="176">
        <f t="shared" si="9"/>
        <v>2889.7000000000003</v>
      </c>
      <c r="Y61" s="176">
        <f t="shared" si="9"/>
        <v>2608.5</v>
      </c>
      <c r="Z61" s="177">
        <f t="shared" si="9"/>
        <v>3796.2000000000003</v>
      </c>
      <c r="AA61" s="199" t="s">
        <v>307</v>
      </c>
      <c r="AB61" s="199">
        <f t="shared" si="2"/>
        <v>3762.9</v>
      </c>
      <c r="AC61" s="176">
        <f t="shared" si="3"/>
        <v>2889.7000000000003</v>
      </c>
      <c r="AD61" s="176">
        <f t="shared" si="4"/>
        <v>2608.5</v>
      </c>
      <c r="AE61" s="177">
        <f t="shared" si="5"/>
        <v>3796.2000000000003</v>
      </c>
    </row>
    <row r="62" spans="1:31" x14ac:dyDescent="0.2">
      <c r="A62" s="86"/>
      <c r="B62" s="161" t="s">
        <v>157</v>
      </c>
      <c r="C62" s="160"/>
      <c r="E62" s="162" t="s">
        <v>84</v>
      </c>
      <c r="F62" s="163" t="s">
        <v>267</v>
      </c>
      <c r="G62" s="164" t="s">
        <v>13</v>
      </c>
      <c r="H62" s="165">
        <v>2.4300000000000002</v>
      </c>
      <c r="I62" s="166">
        <v>0.2</v>
      </c>
      <c r="J62" s="167" t="s">
        <v>4</v>
      </c>
      <c r="K62" s="168">
        <f t="shared" si="20"/>
        <v>1.94</v>
      </c>
      <c r="L62" s="168">
        <v>4.45</v>
      </c>
      <c r="M62" s="169">
        <v>0.5</v>
      </c>
      <c r="N62" s="168">
        <f t="shared" si="21"/>
        <v>2.23</v>
      </c>
      <c r="O62" s="170">
        <f t="shared" si="22"/>
        <v>2.23</v>
      </c>
      <c r="P62" s="171">
        <f t="shared" si="1"/>
        <v>4.33</v>
      </c>
      <c r="Q62" s="172"/>
      <c r="R62" s="199">
        <f t="shared" si="8"/>
        <v>8807.2199999999993</v>
      </c>
      <c r="S62" s="176">
        <f t="shared" si="8"/>
        <v>6763.46</v>
      </c>
      <c r="T62" s="176">
        <f t="shared" si="8"/>
        <v>6105.3</v>
      </c>
      <c r="U62" s="177">
        <f t="shared" si="8"/>
        <v>8885.16</v>
      </c>
      <c r="V62" s="200"/>
      <c r="W62" s="199">
        <f t="shared" si="9"/>
        <v>4403.6099999999997</v>
      </c>
      <c r="X62" s="176">
        <f t="shared" si="9"/>
        <v>3381.73</v>
      </c>
      <c r="Y62" s="176">
        <f t="shared" si="9"/>
        <v>3052.65</v>
      </c>
      <c r="Z62" s="177">
        <f t="shared" si="9"/>
        <v>4442.58</v>
      </c>
      <c r="AA62" s="199" t="s">
        <v>307</v>
      </c>
      <c r="AB62" s="199">
        <f t="shared" si="2"/>
        <v>4403.6099999999997</v>
      </c>
      <c r="AC62" s="176">
        <f t="shared" si="3"/>
        <v>3381.73</v>
      </c>
      <c r="AD62" s="176">
        <f t="shared" si="4"/>
        <v>3052.65</v>
      </c>
      <c r="AE62" s="177">
        <f t="shared" si="5"/>
        <v>4442.58</v>
      </c>
    </row>
    <row r="63" spans="1:31" x14ac:dyDescent="0.2">
      <c r="A63" s="86"/>
      <c r="B63" s="161" t="s">
        <v>158</v>
      </c>
      <c r="C63" s="160"/>
      <c r="E63" s="162" t="s">
        <v>85</v>
      </c>
      <c r="F63" s="163" t="s">
        <v>268</v>
      </c>
      <c r="G63" s="164" t="s">
        <v>159</v>
      </c>
      <c r="H63" s="165">
        <v>4.8499999999999996</v>
      </c>
      <c r="I63" s="166">
        <v>0.4</v>
      </c>
      <c r="J63" s="167" t="s">
        <v>4</v>
      </c>
      <c r="K63" s="168">
        <f t="shared" si="20"/>
        <v>2.91</v>
      </c>
      <c r="L63" s="168">
        <v>4.45</v>
      </c>
      <c r="M63" s="169">
        <v>0.5</v>
      </c>
      <c r="N63" s="168">
        <f t="shared" si="21"/>
        <v>2.23</v>
      </c>
      <c r="O63" s="170">
        <f t="shared" si="22"/>
        <v>2.23</v>
      </c>
      <c r="P63" s="171">
        <f t="shared" si="1"/>
        <v>6.49</v>
      </c>
      <c r="Q63" s="172"/>
      <c r="R63" s="199">
        <f t="shared" si="8"/>
        <v>13200.66</v>
      </c>
      <c r="S63" s="176">
        <f t="shared" si="8"/>
        <v>10137.380000000001</v>
      </c>
      <c r="T63" s="176">
        <f t="shared" si="8"/>
        <v>9150.9</v>
      </c>
      <c r="U63" s="177">
        <f t="shared" si="8"/>
        <v>13317.48</v>
      </c>
      <c r="V63" s="200"/>
      <c r="W63" s="199">
        <f t="shared" si="9"/>
        <v>6600.33</v>
      </c>
      <c r="X63" s="176">
        <f t="shared" si="9"/>
        <v>5068.6900000000005</v>
      </c>
      <c r="Y63" s="176">
        <f t="shared" si="9"/>
        <v>4575.45</v>
      </c>
      <c r="Z63" s="177">
        <f t="shared" si="9"/>
        <v>6658.74</v>
      </c>
      <c r="AA63" s="199" t="s">
        <v>307</v>
      </c>
      <c r="AB63" s="199">
        <f t="shared" si="2"/>
        <v>6600.33</v>
      </c>
      <c r="AC63" s="176">
        <f t="shared" si="3"/>
        <v>5068.6900000000005</v>
      </c>
      <c r="AD63" s="176">
        <f t="shared" si="4"/>
        <v>4575.45</v>
      </c>
      <c r="AE63" s="177">
        <f t="shared" si="5"/>
        <v>6658.74</v>
      </c>
    </row>
    <row r="64" spans="1:31" x14ac:dyDescent="0.2">
      <c r="A64" s="86"/>
      <c r="B64" s="161" t="s">
        <v>86</v>
      </c>
      <c r="C64" s="160"/>
      <c r="E64" s="162" t="s">
        <v>87</v>
      </c>
      <c r="F64" s="163" t="s">
        <v>269</v>
      </c>
      <c r="G64" s="164" t="s">
        <v>88</v>
      </c>
      <c r="H64" s="165">
        <v>5.54</v>
      </c>
      <c r="I64" s="166">
        <v>0.4</v>
      </c>
      <c r="J64" s="167" t="s">
        <v>4</v>
      </c>
      <c r="K64" s="168">
        <f t="shared" si="20"/>
        <v>3.32</v>
      </c>
      <c r="L64" s="168">
        <v>1.2</v>
      </c>
      <c r="M64" s="169">
        <v>0.5</v>
      </c>
      <c r="N64" s="168">
        <f t="shared" si="21"/>
        <v>0.6</v>
      </c>
      <c r="O64" s="170">
        <f t="shared" si="22"/>
        <v>0.6</v>
      </c>
      <c r="P64" s="171">
        <f t="shared" si="1"/>
        <v>1.99</v>
      </c>
      <c r="Q64" s="172"/>
      <c r="R64" s="199">
        <f t="shared" si="8"/>
        <v>4047.66</v>
      </c>
      <c r="S64" s="176">
        <f t="shared" si="8"/>
        <v>3108.38</v>
      </c>
      <c r="T64" s="176">
        <f t="shared" si="8"/>
        <v>2805.9</v>
      </c>
      <c r="U64" s="177">
        <f t="shared" si="8"/>
        <v>4083.48</v>
      </c>
      <c r="V64" s="200"/>
      <c r="W64" s="199">
        <f t="shared" si="9"/>
        <v>2023.83</v>
      </c>
      <c r="X64" s="176">
        <f t="shared" si="9"/>
        <v>1554.19</v>
      </c>
      <c r="Y64" s="176">
        <f t="shared" si="9"/>
        <v>1402.95</v>
      </c>
      <c r="Z64" s="177">
        <f t="shared" si="9"/>
        <v>2041.74</v>
      </c>
      <c r="AA64" s="199" t="s">
        <v>307</v>
      </c>
      <c r="AB64" s="199">
        <f t="shared" si="2"/>
        <v>2023.83</v>
      </c>
      <c r="AC64" s="176">
        <f t="shared" si="3"/>
        <v>1554.19</v>
      </c>
      <c r="AD64" s="176">
        <f t="shared" si="4"/>
        <v>1402.95</v>
      </c>
      <c r="AE64" s="177">
        <f t="shared" si="5"/>
        <v>2041.74</v>
      </c>
    </row>
    <row r="65" spans="1:31" ht="13.5" thickBot="1" x14ac:dyDescent="0.25">
      <c r="A65" s="86"/>
      <c r="B65" s="225" t="s">
        <v>89</v>
      </c>
      <c r="C65" s="224"/>
      <c r="E65" s="226" t="s">
        <v>90</v>
      </c>
      <c r="F65" s="227" t="s">
        <v>270</v>
      </c>
      <c r="G65" s="228" t="s">
        <v>13</v>
      </c>
      <c r="H65" s="229">
        <v>3.98</v>
      </c>
      <c r="I65" s="230">
        <v>0.28000000000000003</v>
      </c>
      <c r="J65" s="231" t="s">
        <v>3</v>
      </c>
      <c r="K65" s="242">
        <f t="shared" si="20"/>
        <v>2.87</v>
      </c>
      <c r="L65" s="232">
        <v>4.45</v>
      </c>
      <c r="M65" s="233">
        <v>0.5</v>
      </c>
      <c r="N65" s="232">
        <f t="shared" si="21"/>
        <v>2.23</v>
      </c>
      <c r="O65" s="234">
        <f t="shared" si="22"/>
        <v>2.23</v>
      </c>
      <c r="P65" s="235">
        <f t="shared" si="1"/>
        <v>6.4</v>
      </c>
      <c r="Q65" s="172"/>
      <c r="R65" s="202">
        <f t="shared" si="8"/>
        <v>13017.6</v>
      </c>
      <c r="S65" s="203">
        <f t="shared" si="8"/>
        <v>9996.8000000000011</v>
      </c>
      <c r="T65" s="203">
        <f t="shared" si="8"/>
        <v>9024</v>
      </c>
      <c r="U65" s="204">
        <f t="shared" si="8"/>
        <v>13132.800000000001</v>
      </c>
      <c r="V65" s="200"/>
      <c r="W65" s="202">
        <f t="shared" si="9"/>
        <v>6508.8</v>
      </c>
      <c r="X65" s="203">
        <f t="shared" si="9"/>
        <v>4998.4000000000005</v>
      </c>
      <c r="Y65" s="203">
        <f t="shared" si="9"/>
        <v>4512</v>
      </c>
      <c r="Z65" s="204">
        <f t="shared" si="9"/>
        <v>6566.4000000000005</v>
      </c>
      <c r="AA65" s="199" t="s">
        <v>307</v>
      </c>
      <c r="AB65" s="202">
        <f t="shared" si="2"/>
        <v>6508.8</v>
      </c>
      <c r="AC65" s="203">
        <f t="shared" si="3"/>
        <v>4998.4000000000005</v>
      </c>
      <c r="AD65" s="203">
        <f t="shared" si="4"/>
        <v>4512</v>
      </c>
      <c r="AE65" s="204">
        <f t="shared" si="5"/>
        <v>6566.4000000000005</v>
      </c>
    </row>
    <row r="66" spans="1:31" x14ac:dyDescent="0.2">
      <c r="A66" s="86"/>
      <c r="B66" s="261" t="s">
        <v>291</v>
      </c>
      <c r="C66" s="262"/>
      <c r="D66" s="247"/>
      <c r="E66" s="248"/>
      <c r="F66" s="263"/>
      <c r="G66" s="250"/>
      <c r="H66" s="251"/>
      <c r="I66" s="252"/>
      <c r="J66" s="253"/>
      <c r="K66" s="254"/>
      <c r="L66" s="255"/>
      <c r="M66" s="256"/>
      <c r="N66" s="255"/>
      <c r="O66" s="257"/>
      <c r="P66" s="264"/>
      <c r="Q66" s="172"/>
      <c r="R66" s="211"/>
      <c r="S66" s="212"/>
      <c r="T66" s="212"/>
      <c r="U66" s="213"/>
      <c r="V66" s="200"/>
      <c r="W66" s="211"/>
      <c r="X66" s="212"/>
      <c r="Y66" s="212"/>
      <c r="Z66" s="213"/>
      <c r="AA66" s="199" t="s">
        <v>307</v>
      </c>
      <c r="AB66" s="211"/>
      <c r="AC66" s="212"/>
      <c r="AD66" s="212"/>
      <c r="AE66" s="213"/>
    </row>
    <row r="67" spans="1:31" x14ac:dyDescent="0.2">
      <c r="A67" s="86"/>
      <c r="B67" s="207" t="s">
        <v>271</v>
      </c>
      <c r="C67" s="265"/>
      <c r="E67" s="266" t="s">
        <v>272</v>
      </c>
      <c r="F67" s="267"/>
      <c r="G67" s="164" t="s">
        <v>13</v>
      </c>
      <c r="H67" s="143">
        <v>11.36</v>
      </c>
      <c r="I67" s="144"/>
      <c r="J67" s="145"/>
      <c r="K67" s="146">
        <f t="shared" ref="K67:K72" si="23">ROUND(H67*(1-I67),2)</f>
        <v>11.36</v>
      </c>
      <c r="L67" s="147">
        <v>3.67</v>
      </c>
      <c r="M67" s="148">
        <v>0.5</v>
      </c>
      <c r="N67" s="147">
        <f t="shared" ref="N67:N72" si="24">ROUND(L67*M67,2)</f>
        <v>1.84</v>
      </c>
      <c r="O67" s="149">
        <f t="shared" ref="O67:O72" si="25">MIN($O$4,N67)</f>
        <v>1.84</v>
      </c>
      <c r="P67" s="268">
        <f t="shared" si="1"/>
        <v>20.9</v>
      </c>
      <c r="Q67" s="172"/>
      <c r="R67" s="199">
        <f t="shared" si="8"/>
        <v>42510.6</v>
      </c>
      <c r="S67" s="176">
        <f t="shared" si="8"/>
        <v>32645.8</v>
      </c>
      <c r="T67" s="176">
        <f t="shared" si="8"/>
        <v>29468.999999999996</v>
      </c>
      <c r="U67" s="177">
        <f t="shared" si="8"/>
        <v>42886.799999999996</v>
      </c>
      <c r="V67" s="200"/>
      <c r="W67" s="199">
        <f t="shared" si="9"/>
        <v>21255.3</v>
      </c>
      <c r="X67" s="176">
        <f t="shared" si="9"/>
        <v>16322.9</v>
      </c>
      <c r="Y67" s="176">
        <f t="shared" si="9"/>
        <v>14734.499999999998</v>
      </c>
      <c r="Z67" s="177">
        <f t="shared" si="9"/>
        <v>21443.399999999998</v>
      </c>
      <c r="AA67" s="199" t="s">
        <v>307</v>
      </c>
      <c r="AB67" s="199">
        <f t="shared" si="2"/>
        <v>21255.3</v>
      </c>
      <c r="AC67" s="176">
        <f t="shared" si="3"/>
        <v>16322.9</v>
      </c>
      <c r="AD67" s="176">
        <f t="shared" si="4"/>
        <v>14734.499999999998</v>
      </c>
      <c r="AE67" s="177">
        <f t="shared" si="5"/>
        <v>21443.399999999998</v>
      </c>
    </row>
    <row r="68" spans="1:31" x14ac:dyDescent="0.2">
      <c r="A68" s="86"/>
      <c r="B68" s="161" t="s">
        <v>160</v>
      </c>
      <c r="C68" s="160"/>
      <c r="E68" s="162" t="s">
        <v>91</v>
      </c>
      <c r="F68" s="163" t="s">
        <v>273</v>
      </c>
      <c r="G68" s="164" t="s">
        <v>13</v>
      </c>
      <c r="H68" s="165">
        <v>32.67</v>
      </c>
      <c r="I68" s="166">
        <v>0.5</v>
      </c>
      <c r="J68" s="167" t="s">
        <v>3</v>
      </c>
      <c r="K68" s="241">
        <f t="shared" si="23"/>
        <v>16.34</v>
      </c>
      <c r="L68" s="168">
        <v>3.67</v>
      </c>
      <c r="M68" s="169">
        <v>0.5</v>
      </c>
      <c r="N68" s="168">
        <f t="shared" si="24"/>
        <v>1.84</v>
      </c>
      <c r="O68" s="170">
        <f t="shared" si="25"/>
        <v>1.84</v>
      </c>
      <c r="P68" s="171">
        <f t="shared" si="1"/>
        <v>30.07</v>
      </c>
      <c r="Q68" s="172"/>
      <c r="R68" s="199">
        <f t="shared" si="8"/>
        <v>61162.38</v>
      </c>
      <c r="S68" s="176">
        <f t="shared" si="8"/>
        <v>46969.340000000004</v>
      </c>
      <c r="T68" s="176">
        <f t="shared" si="8"/>
        <v>42398.7</v>
      </c>
      <c r="U68" s="177">
        <f t="shared" si="8"/>
        <v>61703.64</v>
      </c>
      <c r="V68" s="200"/>
      <c r="W68" s="199">
        <f t="shared" si="9"/>
        <v>30581.19</v>
      </c>
      <c r="X68" s="176">
        <f t="shared" si="9"/>
        <v>23484.670000000002</v>
      </c>
      <c r="Y68" s="176">
        <f t="shared" si="9"/>
        <v>21199.35</v>
      </c>
      <c r="Z68" s="177">
        <f t="shared" si="9"/>
        <v>30851.82</v>
      </c>
      <c r="AA68" s="199" t="s">
        <v>307</v>
      </c>
      <c r="AB68" s="199">
        <f t="shared" si="2"/>
        <v>30581.19</v>
      </c>
      <c r="AC68" s="176">
        <f t="shared" si="3"/>
        <v>23484.670000000002</v>
      </c>
      <c r="AD68" s="176">
        <f t="shared" si="4"/>
        <v>21199.35</v>
      </c>
      <c r="AE68" s="177">
        <f t="shared" si="5"/>
        <v>30851.82</v>
      </c>
    </row>
    <row r="69" spans="1:31" x14ac:dyDescent="0.2">
      <c r="A69" s="86"/>
      <c r="B69" s="161" t="s">
        <v>161</v>
      </c>
      <c r="C69" s="160"/>
      <c r="E69" s="162" t="s">
        <v>92</v>
      </c>
      <c r="F69" s="163" t="s">
        <v>274</v>
      </c>
      <c r="G69" s="164" t="s">
        <v>13</v>
      </c>
      <c r="H69" s="165">
        <v>28.34</v>
      </c>
      <c r="I69" s="166">
        <v>0.5</v>
      </c>
      <c r="J69" s="167" t="s">
        <v>4</v>
      </c>
      <c r="K69" s="241">
        <f t="shared" si="23"/>
        <v>14.17</v>
      </c>
      <c r="L69" s="168">
        <v>3.67</v>
      </c>
      <c r="M69" s="169">
        <v>0.5</v>
      </c>
      <c r="N69" s="168">
        <f t="shared" si="24"/>
        <v>1.84</v>
      </c>
      <c r="O69" s="170">
        <f t="shared" si="25"/>
        <v>1.84</v>
      </c>
      <c r="P69" s="171">
        <f t="shared" si="1"/>
        <v>26.07</v>
      </c>
      <c r="Q69" s="172"/>
      <c r="R69" s="199">
        <f t="shared" si="8"/>
        <v>53026.38</v>
      </c>
      <c r="S69" s="176">
        <f t="shared" si="8"/>
        <v>40721.340000000004</v>
      </c>
      <c r="T69" s="176">
        <f t="shared" si="8"/>
        <v>36758.699999999997</v>
      </c>
      <c r="U69" s="177">
        <f t="shared" si="8"/>
        <v>53495.64</v>
      </c>
      <c r="V69" s="200"/>
      <c r="W69" s="199">
        <f t="shared" si="9"/>
        <v>26513.19</v>
      </c>
      <c r="X69" s="176">
        <f t="shared" si="9"/>
        <v>20360.670000000002</v>
      </c>
      <c r="Y69" s="176">
        <f t="shared" si="9"/>
        <v>18379.349999999999</v>
      </c>
      <c r="Z69" s="177">
        <f t="shared" si="9"/>
        <v>26747.82</v>
      </c>
      <c r="AA69" s="199" t="s">
        <v>307</v>
      </c>
      <c r="AB69" s="199">
        <f t="shared" si="2"/>
        <v>26513.19</v>
      </c>
      <c r="AC69" s="176">
        <f t="shared" si="3"/>
        <v>20360.670000000002</v>
      </c>
      <c r="AD69" s="176">
        <f t="shared" si="4"/>
        <v>18379.349999999999</v>
      </c>
      <c r="AE69" s="177">
        <f t="shared" si="5"/>
        <v>26747.82</v>
      </c>
    </row>
    <row r="70" spans="1:31" x14ac:dyDescent="0.2">
      <c r="A70" s="86"/>
      <c r="B70" s="161" t="s">
        <v>93</v>
      </c>
      <c r="C70" s="160"/>
      <c r="E70" s="162" t="s">
        <v>94</v>
      </c>
      <c r="F70" s="163" t="s">
        <v>275</v>
      </c>
      <c r="G70" s="164" t="s">
        <v>13</v>
      </c>
      <c r="H70" s="165">
        <v>9.77</v>
      </c>
      <c r="I70" s="166">
        <v>0.43</v>
      </c>
      <c r="J70" s="167" t="s">
        <v>3</v>
      </c>
      <c r="K70" s="168">
        <f t="shared" si="23"/>
        <v>5.57</v>
      </c>
      <c r="L70" s="168">
        <v>5.64</v>
      </c>
      <c r="M70" s="169">
        <v>0.5</v>
      </c>
      <c r="N70" s="168">
        <f t="shared" si="24"/>
        <v>2.82</v>
      </c>
      <c r="O70" s="170">
        <f t="shared" si="25"/>
        <v>2.82</v>
      </c>
      <c r="P70" s="171">
        <f t="shared" si="1"/>
        <v>15.71</v>
      </c>
      <c r="Q70" s="172"/>
      <c r="R70" s="199">
        <f t="shared" si="8"/>
        <v>31954.140000000003</v>
      </c>
      <c r="S70" s="176">
        <f t="shared" si="8"/>
        <v>24539.02</v>
      </c>
      <c r="T70" s="176">
        <f t="shared" si="8"/>
        <v>22151.100000000002</v>
      </c>
      <c r="U70" s="177">
        <f t="shared" si="8"/>
        <v>32236.920000000002</v>
      </c>
      <c r="V70" s="200"/>
      <c r="W70" s="199">
        <f t="shared" si="9"/>
        <v>15977.070000000002</v>
      </c>
      <c r="X70" s="176">
        <f t="shared" si="9"/>
        <v>12269.51</v>
      </c>
      <c r="Y70" s="176">
        <f t="shared" si="9"/>
        <v>11075.550000000001</v>
      </c>
      <c r="Z70" s="177">
        <f t="shared" si="9"/>
        <v>16118.460000000001</v>
      </c>
      <c r="AA70" s="199" t="s">
        <v>307</v>
      </c>
      <c r="AB70" s="199">
        <f t="shared" si="2"/>
        <v>15977.070000000002</v>
      </c>
      <c r="AC70" s="176">
        <f t="shared" si="3"/>
        <v>12269.51</v>
      </c>
      <c r="AD70" s="176">
        <f t="shared" si="4"/>
        <v>11075.550000000001</v>
      </c>
      <c r="AE70" s="177">
        <f t="shared" si="5"/>
        <v>16118.460000000001</v>
      </c>
    </row>
    <row r="71" spans="1:31" x14ac:dyDescent="0.2">
      <c r="A71" s="86"/>
      <c r="B71" s="161" t="s">
        <v>162</v>
      </c>
      <c r="C71" s="214"/>
      <c r="E71" s="162" t="s">
        <v>95</v>
      </c>
      <c r="F71" s="163" t="s">
        <v>276</v>
      </c>
      <c r="G71" s="164" t="s">
        <v>13</v>
      </c>
      <c r="H71" s="165">
        <v>7.8</v>
      </c>
      <c r="I71" s="166">
        <v>0.44</v>
      </c>
      <c r="J71" s="167" t="s">
        <v>3</v>
      </c>
      <c r="K71" s="168">
        <f t="shared" si="23"/>
        <v>4.37</v>
      </c>
      <c r="L71" s="168">
        <v>5.64</v>
      </c>
      <c r="M71" s="169">
        <v>0.5</v>
      </c>
      <c r="N71" s="168">
        <f t="shared" si="24"/>
        <v>2.82</v>
      </c>
      <c r="O71" s="170">
        <f t="shared" si="25"/>
        <v>2.82</v>
      </c>
      <c r="P71" s="171">
        <f t="shared" si="1"/>
        <v>12.32</v>
      </c>
      <c r="Q71" s="172"/>
      <c r="R71" s="199">
        <f t="shared" si="8"/>
        <v>25058.880000000001</v>
      </c>
      <c r="S71" s="176">
        <f t="shared" si="8"/>
        <v>19243.84</v>
      </c>
      <c r="T71" s="176">
        <f t="shared" si="8"/>
        <v>17371.2</v>
      </c>
      <c r="U71" s="177">
        <f t="shared" si="8"/>
        <v>25280.639999999999</v>
      </c>
      <c r="V71" s="200"/>
      <c r="W71" s="199">
        <f t="shared" si="9"/>
        <v>12529.44</v>
      </c>
      <c r="X71" s="176">
        <f t="shared" si="9"/>
        <v>9621.92</v>
      </c>
      <c r="Y71" s="176">
        <f t="shared" si="9"/>
        <v>8685.6</v>
      </c>
      <c r="Z71" s="177">
        <f t="shared" si="9"/>
        <v>12640.32</v>
      </c>
      <c r="AA71" s="199" t="s">
        <v>307</v>
      </c>
      <c r="AB71" s="199">
        <f t="shared" si="2"/>
        <v>12529.44</v>
      </c>
      <c r="AC71" s="176">
        <f t="shared" si="3"/>
        <v>9621.92</v>
      </c>
      <c r="AD71" s="176">
        <f t="shared" si="4"/>
        <v>8685.6</v>
      </c>
      <c r="AE71" s="177">
        <f t="shared" si="5"/>
        <v>12640.32</v>
      </c>
    </row>
    <row r="72" spans="1:31" ht="13.5" thickBot="1" x14ac:dyDescent="0.25">
      <c r="A72" s="86"/>
      <c r="B72" s="180" t="s">
        <v>163</v>
      </c>
      <c r="C72" s="224"/>
      <c r="E72" s="243" t="s">
        <v>164</v>
      </c>
      <c r="F72" s="227" t="s">
        <v>277</v>
      </c>
      <c r="G72" s="183" t="s">
        <v>13</v>
      </c>
      <c r="H72" s="184">
        <v>43.38</v>
      </c>
      <c r="I72" s="185">
        <v>0.7</v>
      </c>
      <c r="J72" s="186" t="s">
        <v>3</v>
      </c>
      <c r="K72" s="187">
        <f t="shared" si="23"/>
        <v>13.01</v>
      </c>
      <c r="L72" s="187">
        <v>3.67</v>
      </c>
      <c r="M72" s="188">
        <v>0.5</v>
      </c>
      <c r="N72" s="187">
        <f t="shared" si="24"/>
        <v>1.84</v>
      </c>
      <c r="O72" s="189">
        <f t="shared" si="25"/>
        <v>1.84</v>
      </c>
      <c r="P72" s="190">
        <f t="shared" ref="P72:P86" si="26">ROUND(O72*$K72,2)</f>
        <v>23.94</v>
      </c>
      <c r="Q72" s="172"/>
      <c r="R72" s="236">
        <f t="shared" si="8"/>
        <v>48693.96</v>
      </c>
      <c r="S72" s="192">
        <f t="shared" si="8"/>
        <v>37394.28</v>
      </c>
      <c r="T72" s="192">
        <f t="shared" si="8"/>
        <v>33755.4</v>
      </c>
      <c r="U72" s="193">
        <f t="shared" si="8"/>
        <v>49124.880000000005</v>
      </c>
      <c r="V72" s="200"/>
      <c r="W72" s="236">
        <f t="shared" si="9"/>
        <v>24346.98</v>
      </c>
      <c r="X72" s="192">
        <f t="shared" si="9"/>
        <v>18697.14</v>
      </c>
      <c r="Y72" s="192">
        <f t="shared" si="9"/>
        <v>16877.7</v>
      </c>
      <c r="Z72" s="193">
        <f t="shared" si="9"/>
        <v>24562.440000000002</v>
      </c>
      <c r="AA72" s="199" t="s">
        <v>307</v>
      </c>
      <c r="AB72" s="236">
        <f t="shared" ref="AB72:AB86" si="27">$P72*$AH$8</f>
        <v>24346.98</v>
      </c>
      <c r="AC72" s="192">
        <f t="shared" ref="AC72:AC86" si="28">$P72*$AI$8</f>
        <v>18697.14</v>
      </c>
      <c r="AD72" s="192">
        <f t="shared" ref="AD72:AD86" si="29">$P72*$AJ$8</f>
        <v>16877.7</v>
      </c>
      <c r="AE72" s="193">
        <f t="shared" ref="AE72:AE86" si="30">$P72*$AK$8</f>
        <v>24562.440000000002</v>
      </c>
    </row>
    <row r="73" spans="1:31" x14ac:dyDescent="0.2">
      <c r="A73" s="86"/>
      <c r="B73" s="245" t="s">
        <v>111</v>
      </c>
      <c r="C73" s="262"/>
      <c r="D73" s="247"/>
      <c r="E73" s="248"/>
      <c r="F73" s="269"/>
      <c r="G73" s="250"/>
      <c r="H73" s="251"/>
      <c r="I73" s="252"/>
      <c r="J73" s="253"/>
      <c r="K73" s="254"/>
      <c r="L73" s="255"/>
      <c r="M73" s="256"/>
      <c r="N73" s="255"/>
      <c r="O73" s="257"/>
      <c r="P73" s="264"/>
      <c r="Q73" s="172"/>
      <c r="R73" s="237"/>
      <c r="S73" s="238"/>
      <c r="T73" s="238"/>
      <c r="U73" s="239"/>
      <c r="V73" s="200"/>
      <c r="W73" s="237"/>
      <c r="X73" s="238"/>
      <c r="Y73" s="238"/>
      <c r="Z73" s="239"/>
      <c r="AA73" s="199" t="s">
        <v>307</v>
      </c>
      <c r="AB73" s="237"/>
      <c r="AC73" s="238"/>
      <c r="AD73" s="238"/>
      <c r="AE73" s="239"/>
    </row>
    <row r="74" spans="1:31" x14ac:dyDescent="0.2">
      <c r="A74" s="86"/>
      <c r="B74" s="161" t="s">
        <v>278</v>
      </c>
      <c r="C74" s="160"/>
      <c r="D74" s="161"/>
      <c r="E74" s="162" t="s">
        <v>96</v>
      </c>
      <c r="F74" s="163" t="s">
        <v>279</v>
      </c>
      <c r="G74" s="164" t="s">
        <v>13</v>
      </c>
      <c r="H74" s="165">
        <v>4.83</v>
      </c>
      <c r="I74" s="166">
        <v>0.3</v>
      </c>
      <c r="J74" s="167" t="s">
        <v>5</v>
      </c>
      <c r="K74" s="241">
        <f t="shared" ref="K74:K82" si="31">ROUND(H74*(1-I74),2)</f>
        <v>3.38</v>
      </c>
      <c r="L74" s="168">
        <v>6.39</v>
      </c>
      <c r="M74" s="169">
        <v>0.5</v>
      </c>
      <c r="N74" s="168">
        <f t="shared" ref="N74:N82" si="32">ROUND(L74*M74,2)</f>
        <v>3.2</v>
      </c>
      <c r="O74" s="170">
        <f t="shared" ref="O74:O82" si="33">MIN($O$4,N74)</f>
        <v>3</v>
      </c>
      <c r="P74" s="171">
        <f t="shared" si="26"/>
        <v>10.14</v>
      </c>
      <c r="Q74" s="172"/>
      <c r="R74" s="199">
        <f t="shared" ref="R74:U86" si="34">2*$P74*AH$7</f>
        <v>20624.760000000002</v>
      </c>
      <c r="S74" s="176">
        <f t="shared" si="34"/>
        <v>15838.68</v>
      </c>
      <c r="T74" s="176">
        <f t="shared" si="34"/>
        <v>14297.400000000001</v>
      </c>
      <c r="U74" s="177">
        <f t="shared" si="34"/>
        <v>20807.280000000002</v>
      </c>
      <c r="V74" s="200"/>
      <c r="W74" s="199">
        <f t="shared" ref="W74:Z86" si="35">$P74*AH$7</f>
        <v>10312.380000000001</v>
      </c>
      <c r="X74" s="176">
        <f t="shared" si="35"/>
        <v>7919.34</v>
      </c>
      <c r="Y74" s="176">
        <f t="shared" si="35"/>
        <v>7148.7000000000007</v>
      </c>
      <c r="Z74" s="177">
        <f t="shared" si="35"/>
        <v>10403.640000000001</v>
      </c>
      <c r="AA74" s="199" t="s">
        <v>307</v>
      </c>
      <c r="AB74" s="199">
        <f t="shared" si="27"/>
        <v>10312.380000000001</v>
      </c>
      <c r="AC74" s="176">
        <f t="shared" si="28"/>
        <v>7919.34</v>
      </c>
      <c r="AD74" s="176">
        <f t="shared" si="29"/>
        <v>7148.7000000000007</v>
      </c>
      <c r="AE74" s="177">
        <f t="shared" si="30"/>
        <v>10403.640000000001</v>
      </c>
    </row>
    <row r="75" spans="1:31" x14ac:dyDescent="0.2">
      <c r="A75" s="86"/>
      <c r="B75" s="161" t="s">
        <v>165</v>
      </c>
      <c r="C75" s="160"/>
      <c r="D75" s="161"/>
      <c r="E75" s="162" t="s">
        <v>97</v>
      </c>
      <c r="F75" s="163" t="s">
        <v>280</v>
      </c>
      <c r="G75" s="164" t="s">
        <v>13</v>
      </c>
      <c r="H75" s="165">
        <v>6.94</v>
      </c>
      <c r="I75" s="166">
        <v>0.3</v>
      </c>
      <c r="J75" s="167" t="s">
        <v>4</v>
      </c>
      <c r="K75" s="241">
        <f t="shared" si="31"/>
        <v>4.8600000000000003</v>
      </c>
      <c r="L75" s="168">
        <v>6.39</v>
      </c>
      <c r="M75" s="169">
        <v>0.5</v>
      </c>
      <c r="N75" s="168">
        <f t="shared" si="32"/>
        <v>3.2</v>
      </c>
      <c r="O75" s="170">
        <f t="shared" si="33"/>
        <v>3</v>
      </c>
      <c r="P75" s="171">
        <f t="shared" si="26"/>
        <v>14.58</v>
      </c>
      <c r="Q75" s="172"/>
      <c r="R75" s="199">
        <f t="shared" si="34"/>
        <v>29655.72</v>
      </c>
      <c r="S75" s="176">
        <f t="shared" si="34"/>
        <v>22773.96</v>
      </c>
      <c r="T75" s="176">
        <f t="shared" si="34"/>
        <v>20557.8</v>
      </c>
      <c r="U75" s="177">
        <f t="shared" si="34"/>
        <v>29918.16</v>
      </c>
      <c r="V75" s="200"/>
      <c r="W75" s="199">
        <f t="shared" si="35"/>
        <v>14827.86</v>
      </c>
      <c r="X75" s="176">
        <f t="shared" si="35"/>
        <v>11386.98</v>
      </c>
      <c r="Y75" s="176">
        <f t="shared" si="35"/>
        <v>10278.9</v>
      </c>
      <c r="Z75" s="177">
        <f t="shared" si="35"/>
        <v>14959.08</v>
      </c>
      <c r="AA75" s="199" t="s">
        <v>307</v>
      </c>
      <c r="AB75" s="199">
        <f t="shared" si="27"/>
        <v>14827.86</v>
      </c>
      <c r="AC75" s="176">
        <f t="shared" si="28"/>
        <v>11386.98</v>
      </c>
      <c r="AD75" s="176">
        <f t="shared" si="29"/>
        <v>10278.9</v>
      </c>
      <c r="AE75" s="177">
        <f t="shared" si="30"/>
        <v>14959.08</v>
      </c>
    </row>
    <row r="76" spans="1:31" x14ac:dyDescent="0.2">
      <c r="A76" s="86"/>
      <c r="B76" s="161" t="s">
        <v>98</v>
      </c>
      <c r="C76" s="160"/>
      <c r="D76" s="161"/>
      <c r="E76" s="162" t="s">
        <v>99</v>
      </c>
      <c r="F76" s="163" t="s">
        <v>281</v>
      </c>
      <c r="G76" s="164" t="s">
        <v>13</v>
      </c>
      <c r="H76" s="165">
        <v>2.33</v>
      </c>
      <c r="I76" s="166">
        <v>0.48</v>
      </c>
      <c r="J76" s="167" t="s">
        <v>3</v>
      </c>
      <c r="K76" s="241">
        <f t="shared" si="31"/>
        <v>1.21</v>
      </c>
      <c r="L76" s="168">
        <v>6.39</v>
      </c>
      <c r="M76" s="169">
        <v>0.5</v>
      </c>
      <c r="N76" s="168">
        <f t="shared" si="32"/>
        <v>3.2</v>
      </c>
      <c r="O76" s="170">
        <f t="shared" si="33"/>
        <v>3</v>
      </c>
      <c r="P76" s="171">
        <f t="shared" si="26"/>
        <v>3.63</v>
      </c>
      <c r="Q76" s="172"/>
      <c r="R76" s="199">
        <f t="shared" si="34"/>
        <v>7383.42</v>
      </c>
      <c r="S76" s="176">
        <f t="shared" si="34"/>
        <v>5670.0599999999995</v>
      </c>
      <c r="T76" s="176">
        <f t="shared" si="34"/>
        <v>5118.3</v>
      </c>
      <c r="U76" s="177">
        <f t="shared" si="34"/>
        <v>7448.76</v>
      </c>
      <c r="V76" s="200"/>
      <c r="W76" s="199">
        <f t="shared" si="35"/>
        <v>3691.71</v>
      </c>
      <c r="X76" s="176">
        <f t="shared" si="35"/>
        <v>2835.0299999999997</v>
      </c>
      <c r="Y76" s="176">
        <f t="shared" si="35"/>
        <v>2559.15</v>
      </c>
      <c r="Z76" s="177">
        <f t="shared" si="35"/>
        <v>3724.38</v>
      </c>
      <c r="AA76" s="199" t="s">
        <v>307</v>
      </c>
      <c r="AB76" s="199">
        <f t="shared" si="27"/>
        <v>3691.71</v>
      </c>
      <c r="AC76" s="176">
        <f t="shared" si="28"/>
        <v>2835.0299999999997</v>
      </c>
      <c r="AD76" s="176">
        <f t="shared" si="29"/>
        <v>2559.15</v>
      </c>
      <c r="AE76" s="177">
        <f t="shared" si="30"/>
        <v>3724.38</v>
      </c>
    </row>
    <row r="77" spans="1:31" x14ac:dyDescent="0.2">
      <c r="A77" s="86"/>
      <c r="B77" s="161" t="s">
        <v>166</v>
      </c>
      <c r="C77" s="160"/>
      <c r="D77" s="161"/>
      <c r="E77" s="162" t="s">
        <v>167</v>
      </c>
      <c r="F77" s="163" t="s">
        <v>282</v>
      </c>
      <c r="G77" s="164" t="s">
        <v>13</v>
      </c>
      <c r="H77" s="165">
        <v>8.51</v>
      </c>
      <c r="I77" s="166">
        <v>0.53</v>
      </c>
      <c r="J77" s="167" t="s">
        <v>3</v>
      </c>
      <c r="K77" s="241">
        <f t="shared" si="31"/>
        <v>4</v>
      </c>
      <c r="L77" s="168">
        <v>6.39</v>
      </c>
      <c r="M77" s="169">
        <v>0.5</v>
      </c>
      <c r="N77" s="168">
        <f t="shared" si="32"/>
        <v>3.2</v>
      </c>
      <c r="O77" s="170">
        <f t="shared" si="33"/>
        <v>3</v>
      </c>
      <c r="P77" s="171">
        <f t="shared" si="26"/>
        <v>12</v>
      </c>
      <c r="Q77" s="172"/>
      <c r="R77" s="199">
        <f t="shared" si="34"/>
        <v>24408</v>
      </c>
      <c r="S77" s="176">
        <f t="shared" si="34"/>
        <v>18744</v>
      </c>
      <c r="T77" s="176">
        <f t="shared" si="34"/>
        <v>16920</v>
      </c>
      <c r="U77" s="177">
        <f t="shared" si="34"/>
        <v>24624</v>
      </c>
      <c r="V77" s="200"/>
      <c r="W77" s="199">
        <f t="shared" si="35"/>
        <v>12204</v>
      </c>
      <c r="X77" s="176">
        <f t="shared" si="35"/>
        <v>9372</v>
      </c>
      <c r="Y77" s="176">
        <f t="shared" si="35"/>
        <v>8460</v>
      </c>
      <c r="Z77" s="177">
        <f t="shared" si="35"/>
        <v>12312</v>
      </c>
      <c r="AA77" s="199" t="s">
        <v>307</v>
      </c>
      <c r="AB77" s="199">
        <f t="shared" si="27"/>
        <v>12204</v>
      </c>
      <c r="AC77" s="176">
        <f t="shared" si="28"/>
        <v>9372</v>
      </c>
      <c r="AD77" s="176">
        <f t="shared" si="29"/>
        <v>8460</v>
      </c>
      <c r="AE77" s="177">
        <f t="shared" si="30"/>
        <v>12312</v>
      </c>
    </row>
    <row r="78" spans="1:31" x14ac:dyDescent="0.2">
      <c r="A78" s="86"/>
      <c r="B78" s="161" t="s">
        <v>168</v>
      </c>
      <c r="C78" s="160"/>
      <c r="D78" s="161"/>
      <c r="E78" s="162" t="s">
        <v>100</v>
      </c>
      <c r="F78" s="163" t="s">
        <v>283</v>
      </c>
      <c r="G78" s="164" t="s">
        <v>13</v>
      </c>
      <c r="H78" s="165">
        <v>10.29</v>
      </c>
      <c r="I78" s="166">
        <v>0.49</v>
      </c>
      <c r="J78" s="167" t="s">
        <v>3</v>
      </c>
      <c r="K78" s="241">
        <f t="shared" si="31"/>
        <v>5.25</v>
      </c>
      <c r="L78" s="168">
        <v>6.39</v>
      </c>
      <c r="M78" s="169">
        <v>0.5</v>
      </c>
      <c r="N78" s="168">
        <f t="shared" si="32"/>
        <v>3.2</v>
      </c>
      <c r="O78" s="170">
        <f t="shared" si="33"/>
        <v>3</v>
      </c>
      <c r="P78" s="171">
        <f t="shared" si="26"/>
        <v>15.75</v>
      </c>
      <c r="Q78" s="172"/>
      <c r="R78" s="199">
        <f t="shared" si="34"/>
        <v>32035.5</v>
      </c>
      <c r="S78" s="176">
        <f t="shared" si="34"/>
        <v>24601.5</v>
      </c>
      <c r="T78" s="176">
        <f t="shared" si="34"/>
        <v>22207.5</v>
      </c>
      <c r="U78" s="177">
        <f t="shared" si="34"/>
        <v>32319</v>
      </c>
      <c r="V78" s="200"/>
      <c r="W78" s="199">
        <f t="shared" si="35"/>
        <v>16017.75</v>
      </c>
      <c r="X78" s="176">
        <f t="shared" si="35"/>
        <v>12300.75</v>
      </c>
      <c r="Y78" s="176">
        <f t="shared" si="35"/>
        <v>11103.75</v>
      </c>
      <c r="Z78" s="177">
        <f t="shared" si="35"/>
        <v>16159.5</v>
      </c>
      <c r="AA78" s="199" t="s">
        <v>307</v>
      </c>
      <c r="AB78" s="199">
        <f t="shared" si="27"/>
        <v>16017.75</v>
      </c>
      <c r="AC78" s="176">
        <f t="shared" si="28"/>
        <v>12300.75</v>
      </c>
      <c r="AD78" s="176">
        <f t="shared" si="29"/>
        <v>11103.75</v>
      </c>
      <c r="AE78" s="177">
        <f t="shared" si="30"/>
        <v>16159.5</v>
      </c>
    </row>
    <row r="79" spans="1:31" x14ac:dyDescent="0.2">
      <c r="A79" s="86"/>
      <c r="B79" s="161" t="s">
        <v>101</v>
      </c>
      <c r="C79" s="160"/>
      <c r="D79" s="161"/>
      <c r="E79" s="162" t="s">
        <v>102</v>
      </c>
      <c r="F79" s="163" t="s">
        <v>284</v>
      </c>
      <c r="G79" s="164" t="s">
        <v>154</v>
      </c>
      <c r="H79" s="165">
        <v>3.81</v>
      </c>
      <c r="I79" s="166">
        <v>0.34</v>
      </c>
      <c r="J79" s="167" t="s">
        <v>3</v>
      </c>
      <c r="K79" s="241">
        <f>ROUND(H79*(1-I79),2)</f>
        <v>2.5099999999999998</v>
      </c>
      <c r="L79" s="168">
        <v>6.39</v>
      </c>
      <c r="M79" s="169">
        <v>0.5</v>
      </c>
      <c r="N79" s="168">
        <f t="shared" si="32"/>
        <v>3.2</v>
      </c>
      <c r="O79" s="170">
        <f t="shared" si="33"/>
        <v>3</v>
      </c>
      <c r="P79" s="171">
        <f t="shared" si="26"/>
        <v>7.53</v>
      </c>
      <c r="Q79" s="172"/>
      <c r="R79" s="199">
        <f t="shared" si="34"/>
        <v>15316.02</v>
      </c>
      <c r="S79" s="176">
        <f t="shared" si="34"/>
        <v>11761.86</v>
      </c>
      <c r="T79" s="176">
        <f t="shared" si="34"/>
        <v>10617.300000000001</v>
      </c>
      <c r="U79" s="177">
        <f t="shared" si="34"/>
        <v>15451.560000000001</v>
      </c>
      <c r="V79" s="200"/>
      <c r="W79" s="199">
        <f t="shared" si="35"/>
        <v>7658.01</v>
      </c>
      <c r="X79" s="176">
        <f t="shared" si="35"/>
        <v>5880.93</v>
      </c>
      <c r="Y79" s="176">
        <f t="shared" si="35"/>
        <v>5308.6500000000005</v>
      </c>
      <c r="Z79" s="177">
        <f t="shared" si="35"/>
        <v>7725.7800000000007</v>
      </c>
      <c r="AA79" s="199" t="s">
        <v>307</v>
      </c>
      <c r="AB79" s="199">
        <f t="shared" si="27"/>
        <v>7658.01</v>
      </c>
      <c r="AC79" s="176">
        <f t="shared" si="28"/>
        <v>5880.93</v>
      </c>
      <c r="AD79" s="176">
        <f t="shared" si="29"/>
        <v>5308.6500000000005</v>
      </c>
      <c r="AE79" s="177">
        <f t="shared" si="30"/>
        <v>7725.7800000000007</v>
      </c>
    </row>
    <row r="80" spans="1:31" x14ac:dyDescent="0.2">
      <c r="A80" s="86"/>
      <c r="B80" s="161" t="s">
        <v>103</v>
      </c>
      <c r="C80" s="160"/>
      <c r="D80" s="161"/>
      <c r="E80" s="162" t="s">
        <v>104</v>
      </c>
      <c r="F80" s="163" t="s">
        <v>285</v>
      </c>
      <c r="G80" s="164" t="s">
        <v>13</v>
      </c>
      <c r="H80" s="165">
        <v>9.24</v>
      </c>
      <c r="I80" s="166">
        <v>0.36</v>
      </c>
      <c r="J80" s="167" t="s">
        <v>3</v>
      </c>
      <c r="K80" s="241">
        <f t="shared" si="31"/>
        <v>5.91</v>
      </c>
      <c r="L80" s="168">
        <v>6.39</v>
      </c>
      <c r="M80" s="169">
        <v>0.5</v>
      </c>
      <c r="N80" s="168">
        <f t="shared" si="32"/>
        <v>3.2</v>
      </c>
      <c r="O80" s="170">
        <f t="shared" si="33"/>
        <v>3</v>
      </c>
      <c r="P80" s="171">
        <f t="shared" si="26"/>
        <v>17.73</v>
      </c>
      <c r="Q80" s="172"/>
      <c r="R80" s="199">
        <f t="shared" si="34"/>
        <v>36062.82</v>
      </c>
      <c r="S80" s="176">
        <f t="shared" si="34"/>
        <v>27694.260000000002</v>
      </c>
      <c r="T80" s="176">
        <f t="shared" si="34"/>
        <v>24999.3</v>
      </c>
      <c r="U80" s="177">
        <f t="shared" si="34"/>
        <v>36381.96</v>
      </c>
      <c r="V80" s="200"/>
      <c r="W80" s="199">
        <f t="shared" si="35"/>
        <v>18031.41</v>
      </c>
      <c r="X80" s="176">
        <f t="shared" si="35"/>
        <v>13847.130000000001</v>
      </c>
      <c r="Y80" s="176">
        <f t="shared" si="35"/>
        <v>12499.65</v>
      </c>
      <c r="Z80" s="177">
        <f t="shared" si="35"/>
        <v>18190.98</v>
      </c>
      <c r="AA80" s="199" t="s">
        <v>307</v>
      </c>
      <c r="AB80" s="199">
        <f t="shared" si="27"/>
        <v>18031.41</v>
      </c>
      <c r="AC80" s="176">
        <f t="shared" si="28"/>
        <v>13847.130000000001</v>
      </c>
      <c r="AD80" s="176">
        <f t="shared" si="29"/>
        <v>12499.65</v>
      </c>
      <c r="AE80" s="177">
        <f t="shared" si="30"/>
        <v>18190.98</v>
      </c>
    </row>
    <row r="81" spans="1:31" x14ac:dyDescent="0.2">
      <c r="A81" s="86"/>
      <c r="B81" s="207" t="s">
        <v>105</v>
      </c>
      <c r="C81" s="206"/>
      <c r="D81" s="207"/>
      <c r="E81" s="208" t="s">
        <v>106</v>
      </c>
      <c r="F81" s="217" t="s">
        <v>286</v>
      </c>
      <c r="G81" s="142" t="s">
        <v>13</v>
      </c>
      <c r="H81" s="143">
        <v>5</v>
      </c>
      <c r="I81" s="144">
        <v>0.3</v>
      </c>
      <c r="J81" s="145" t="s">
        <v>4</v>
      </c>
      <c r="K81" s="146">
        <f t="shared" si="31"/>
        <v>3.5</v>
      </c>
      <c r="L81" s="147">
        <v>6.39</v>
      </c>
      <c r="M81" s="148">
        <v>0.5</v>
      </c>
      <c r="N81" s="147">
        <f t="shared" si="32"/>
        <v>3.2</v>
      </c>
      <c r="O81" s="149">
        <f t="shared" si="33"/>
        <v>3</v>
      </c>
      <c r="P81" s="268">
        <f t="shared" si="26"/>
        <v>10.5</v>
      </c>
      <c r="Q81" s="172"/>
      <c r="R81" s="199">
        <f t="shared" si="34"/>
        <v>21357</v>
      </c>
      <c r="S81" s="176">
        <f t="shared" si="34"/>
        <v>16401</v>
      </c>
      <c r="T81" s="176">
        <f t="shared" si="34"/>
        <v>14805</v>
      </c>
      <c r="U81" s="177">
        <f t="shared" si="34"/>
        <v>21546</v>
      </c>
      <c r="V81" s="200"/>
      <c r="W81" s="199">
        <f t="shared" si="35"/>
        <v>10678.5</v>
      </c>
      <c r="X81" s="176">
        <f t="shared" si="35"/>
        <v>8200.5</v>
      </c>
      <c r="Y81" s="176">
        <f t="shared" si="35"/>
        <v>7402.5</v>
      </c>
      <c r="Z81" s="177">
        <f t="shared" si="35"/>
        <v>10773</v>
      </c>
      <c r="AA81" s="199" t="s">
        <v>307</v>
      </c>
      <c r="AB81" s="199">
        <f t="shared" si="27"/>
        <v>10678.5</v>
      </c>
      <c r="AC81" s="176">
        <f t="shared" si="28"/>
        <v>8200.5</v>
      </c>
      <c r="AD81" s="176">
        <f t="shared" si="29"/>
        <v>7402.5</v>
      </c>
      <c r="AE81" s="177">
        <f t="shared" si="30"/>
        <v>10773</v>
      </c>
    </row>
    <row r="82" spans="1:31" ht="13.5" thickBot="1" x14ac:dyDescent="0.25">
      <c r="A82" s="86"/>
      <c r="B82" s="180" t="s">
        <v>169</v>
      </c>
      <c r="C82" s="179"/>
      <c r="D82" s="180"/>
      <c r="E82" s="243" t="s">
        <v>170</v>
      </c>
      <c r="F82" s="227" t="s">
        <v>287</v>
      </c>
      <c r="G82" s="183" t="s">
        <v>13</v>
      </c>
      <c r="H82" s="184">
        <v>1.95</v>
      </c>
      <c r="I82" s="185">
        <v>0.3</v>
      </c>
      <c r="J82" s="186" t="s">
        <v>4</v>
      </c>
      <c r="K82" s="244">
        <f t="shared" si="31"/>
        <v>1.37</v>
      </c>
      <c r="L82" s="187">
        <v>6.39</v>
      </c>
      <c r="M82" s="188">
        <v>0.5</v>
      </c>
      <c r="N82" s="187">
        <f t="shared" si="32"/>
        <v>3.2</v>
      </c>
      <c r="O82" s="189">
        <f t="shared" si="33"/>
        <v>3</v>
      </c>
      <c r="P82" s="190">
        <f t="shared" si="26"/>
        <v>4.1100000000000003</v>
      </c>
      <c r="Q82" s="172"/>
      <c r="R82" s="202">
        <f t="shared" si="34"/>
        <v>8359.74</v>
      </c>
      <c r="S82" s="203">
        <f t="shared" si="34"/>
        <v>6419.8200000000006</v>
      </c>
      <c r="T82" s="203">
        <f t="shared" si="34"/>
        <v>5795.1</v>
      </c>
      <c r="U82" s="204">
        <f t="shared" si="34"/>
        <v>8433.7200000000012</v>
      </c>
      <c r="V82" s="200"/>
      <c r="W82" s="202">
        <f t="shared" si="35"/>
        <v>4179.87</v>
      </c>
      <c r="X82" s="203">
        <f t="shared" si="35"/>
        <v>3209.9100000000003</v>
      </c>
      <c r="Y82" s="203">
        <f t="shared" si="35"/>
        <v>2897.55</v>
      </c>
      <c r="Z82" s="204">
        <f t="shared" si="35"/>
        <v>4216.8600000000006</v>
      </c>
      <c r="AA82" s="199" t="s">
        <v>307</v>
      </c>
      <c r="AB82" s="202">
        <f t="shared" si="27"/>
        <v>4179.87</v>
      </c>
      <c r="AC82" s="203">
        <f t="shared" si="28"/>
        <v>3209.9100000000003</v>
      </c>
      <c r="AD82" s="203">
        <f t="shared" si="29"/>
        <v>2897.55</v>
      </c>
      <c r="AE82" s="204">
        <f t="shared" si="30"/>
        <v>4216.8600000000006</v>
      </c>
    </row>
    <row r="83" spans="1:31" x14ac:dyDescent="0.2">
      <c r="A83" s="86"/>
      <c r="B83" s="205" t="s">
        <v>107</v>
      </c>
      <c r="C83" s="206"/>
      <c r="D83" s="207"/>
      <c r="E83" s="208"/>
      <c r="F83" s="270"/>
      <c r="G83" s="142"/>
      <c r="H83" s="143"/>
      <c r="I83" s="144"/>
      <c r="J83" s="145"/>
      <c r="K83" s="146"/>
      <c r="L83" s="147"/>
      <c r="M83" s="148"/>
      <c r="N83" s="147"/>
      <c r="O83" s="149"/>
      <c r="P83" s="268"/>
      <c r="Q83" s="172"/>
      <c r="R83" s="211"/>
      <c r="S83" s="212"/>
      <c r="T83" s="212"/>
      <c r="U83" s="213"/>
      <c r="V83" s="200"/>
      <c r="W83" s="211"/>
      <c r="X83" s="212"/>
      <c r="Y83" s="212"/>
      <c r="Z83" s="213"/>
      <c r="AA83" s="199" t="s">
        <v>307</v>
      </c>
      <c r="AB83" s="211"/>
      <c r="AC83" s="212"/>
      <c r="AD83" s="212"/>
      <c r="AE83" s="213"/>
    </row>
    <row r="84" spans="1:31" x14ac:dyDescent="0.2">
      <c r="A84" s="86"/>
      <c r="B84" s="161" t="s">
        <v>171</v>
      </c>
      <c r="C84" s="160"/>
      <c r="D84" s="161"/>
      <c r="E84" s="162" t="s">
        <v>108</v>
      </c>
      <c r="F84" s="163" t="s">
        <v>288</v>
      </c>
      <c r="G84" s="164" t="s">
        <v>13</v>
      </c>
      <c r="H84" s="165">
        <v>12.13</v>
      </c>
      <c r="I84" s="166">
        <v>0.4</v>
      </c>
      <c r="J84" s="167" t="s">
        <v>4</v>
      </c>
      <c r="K84" s="241">
        <f>ROUND(H84*(1-I84),2)</f>
        <v>7.28</v>
      </c>
      <c r="L84" s="168">
        <v>4.45</v>
      </c>
      <c r="M84" s="169">
        <v>0.5</v>
      </c>
      <c r="N84" s="168">
        <f>ROUND(L84*M84,2)</f>
        <v>2.23</v>
      </c>
      <c r="O84" s="170">
        <f>MIN($O$4,N84)</f>
        <v>2.23</v>
      </c>
      <c r="P84" s="171">
        <f t="shared" si="26"/>
        <v>16.23</v>
      </c>
      <c r="Q84" s="172"/>
      <c r="R84" s="199">
        <f t="shared" si="34"/>
        <v>33011.82</v>
      </c>
      <c r="S84" s="176">
        <f t="shared" si="34"/>
        <v>25351.260000000002</v>
      </c>
      <c r="T84" s="176">
        <f t="shared" si="34"/>
        <v>22884.3</v>
      </c>
      <c r="U84" s="177">
        <f t="shared" si="34"/>
        <v>33303.96</v>
      </c>
      <c r="V84" s="200"/>
      <c r="W84" s="199">
        <f t="shared" si="35"/>
        <v>16505.91</v>
      </c>
      <c r="X84" s="176">
        <f t="shared" si="35"/>
        <v>12675.630000000001</v>
      </c>
      <c r="Y84" s="176">
        <f t="shared" si="35"/>
        <v>11442.15</v>
      </c>
      <c r="Z84" s="177">
        <f t="shared" si="35"/>
        <v>16651.98</v>
      </c>
      <c r="AA84" s="199" t="s">
        <v>307</v>
      </c>
      <c r="AB84" s="199">
        <f t="shared" si="27"/>
        <v>16505.91</v>
      </c>
      <c r="AC84" s="176">
        <f t="shared" si="28"/>
        <v>12675.630000000001</v>
      </c>
      <c r="AD84" s="176">
        <f t="shared" si="29"/>
        <v>11442.15</v>
      </c>
      <c r="AE84" s="177">
        <f t="shared" si="30"/>
        <v>16651.98</v>
      </c>
    </row>
    <row r="85" spans="1:31" x14ac:dyDescent="0.2">
      <c r="A85" s="86"/>
      <c r="B85" s="161" t="s">
        <v>172</v>
      </c>
      <c r="C85" s="214"/>
      <c r="D85" s="161"/>
      <c r="E85" s="222" t="s">
        <v>109</v>
      </c>
      <c r="F85" s="271" t="s">
        <v>289</v>
      </c>
      <c r="G85" s="218" t="s">
        <v>173</v>
      </c>
      <c r="H85" s="219">
        <v>27.15</v>
      </c>
      <c r="I85" s="220">
        <v>0.35</v>
      </c>
      <c r="J85" s="221" t="s">
        <v>3</v>
      </c>
      <c r="K85" s="272">
        <f>ROUND(H85*(1-I85),2)</f>
        <v>17.649999999999999</v>
      </c>
      <c r="L85" s="223">
        <v>4.45</v>
      </c>
      <c r="M85" s="273">
        <v>0.5</v>
      </c>
      <c r="N85" s="223">
        <f>ROUND(L85*M85,2)</f>
        <v>2.23</v>
      </c>
      <c r="O85" s="197">
        <f>MIN($O$4,N85)</f>
        <v>2.23</v>
      </c>
      <c r="P85" s="198">
        <f t="shared" si="26"/>
        <v>39.36</v>
      </c>
      <c r="Q85" s="172"/>
      <c r="R85" s="199">
        <f t="shared" si="34"/>
        <v>80058.240000000005</v>
      </c>
      <c r="S85" s="176">
        <f t="shared" si="34"/>
        <v>61480.32</v>
      </c>
      <c r="T85" s="176">
        <f t="shared" si="34"/>
        <v>55497.599999999999</v>
      </c>
      <c r="U85" s="177">
        <f t="shared" si="34"/>
        <v>80766.720000000001</v>
      </c>
      <c r="V85" s="200"/>
      <c r="W85" s="199">
        <f t="shared" si="35"/>
        <v>40029.120000000003</v>
      </c>
      <c r="X85" s="176">
        <f t="shared" si="35"/>
        <v>30740.16</v>
      </c>
      <c r="Y85" s="176">
        <f t="shared" si="35"/>
        <v>27748.799999999999</v>
      </c>
      <c r="Z85" s="177">
        <f t="shared" si="35"/>
        <v>40383.360000000001</v>
      </c>
      <c r="AA85" s="199" t="s">
        <v>307</v>
      </c>
      <c r="AB85" s="199">
        <f t="shared" si="27"/>
        <v>40029.120000000003</v>
      </c>
      <c r="AC85" s="176">
        <f t="shared" si="28"/>
        <v>30740.16</v>
      </c>
      <c r="AD85" s="176">
        <f t="shared" si="29"/>
        <v>27748.799999999999</v>
      </c>
      <c r="AE85" s="177">
        <f t="shared" si="30"/>
        <v>40383.360000000001</v>
      </c>
    </row>
    <row r="86" spans="1:31" ht="13.5" thickBot="1" x14ac:dyDescent="0.25">
      <c r="A86" s="86"/>
      <c r="B86" s="225" t="s">
        <v>174</v>
      </c>
      <c r="C86" s="224"/>
      <c r="D86" s="225"/>
      <c r="E86" s="226" t="s">
        <v>175</v>
      </c>
      <c r="F86" s="274" t="s">
        <v>290</v>
      </c>
      <c r="G86" s="228" t="s">
        <v>154</v>
      </c>
      <c r="H86" s="229">
        <v>1.45</v>
      </c>
      <c r="I86" s="230">
        <v>0.3</v>
      </c>
      <c r="J86" s="231" t="s">
        <v>4</v>
      </c>
      <c r="K86" s="232">
        <f>ROUND(H86*(1-I86),2)</f>
        <v>1.02</v>
      </c>
      <c r="L86" s="232">
        <v>4.45</v>
      </c>
      <c r="M86" s="233">
        <v>0.5</v>
      </c>
      <c r="N86" s="232">
        <f>ROUND(L86*M86,2)</f>
        <v>2.23</v>
      </c>
      <c r="O86" s="234">
        <f>MIN($O$4,N86)</f>
        <v>2.23</v>
      </c>
      <c r="P86" s="235">
        <f t="shared" si="26"/>
        <v>2.27</v>
      </c>
      <c r="Q86" s="172"/>
      <c r="R86" s="275">
        <f t="shared" si="34"/>
        <v>4617.18</v>
      </c>
      <c r="S86" s="276">
        <f t="shared" si="34"/>
        <v>3545.7400000000002</v>
      </c>
      <c r="T86" s="276">
        <f t="shared" si="34"/>
        <v>3200.7</v>
      </c>
      <c r="U86" s="277">
        <f t="shared" si="34"/>
        <v>4658.04</v>
      </c>
      <c r="V86" s="200"/>
      <c r="W86" s="275">
        <f t="shared" si="35"/>
        <v>2308.59</v>
      </c>
      <c r="X86" s="276">
        <f t="shared" si="35"/>
        <v>1772.8700000000001</v>
      </c>
      <c r="Y86" s="276">
        <f t="shared" si="35"/>
        <v>1600.35</v>
      </c>
      <c r="Z86" s="277">
        <f t="shared" si="35"/>
        <v>2329.02</v>
      </c>
      <c r="AA86" s="199" t="s">
        <v>307</v>
      </c>
      <c r="AB86" s="275">
        <f t="shared" si="27"/>
        <v>2308.59</v>
      </c>
      <c r="AC86" s="276">
        <f t="shared" si="28"/>
        <v>1772.8700000000001</v>
      </c>
      <c r="AD86" s="276">
        <f t="shared" si="29"/>
        <v>1600.35</v>
      </c>
      <c r="AE86" s="277">
        <f t="shared" si="30"/>
        <v>2329.02</v>
      </c>
    </row>
    <row r="87" spans="1:31" x14ac:dyDescent="0.2">
      <c r="A87" s="86"/>
      <c r="B87" s="86"/>
      <c r="C87" s="86"/>
      <c r="D87" s="86"/>
      <c r="E87" s="87"/>
      <c r="F87" s="86"/>
      <c r="G87" s="88"/>
      <c r="H87" s="89"/>
      <c r="I87" s="278"/>
      <c r="J87" s="88"/>
      <c r="K87" s="89"/>
      <c r="P87" s="88"/>
      <c r="Q87" s="88"/>
    </row>
    <row r="88" spans="1:31" x14ac:dyDescent="0.2">
      <c r="A88" s="86"/>
      <c r="B88" s="86">
        <v>1</v>
      </c>
      <c r="C88" s="86">
        <v>2</v>
      </c>
      <c r="D88" s="86">
        <v>3</v>
      </c>
      <c r="E88" s="87" t="s">
        <v>303</v>
      </c>
      <c r="F88" s="86">
        <v>5</v>
      </c>
      <c r="G88" s="88">
        <v>6</v>
      </c>
      <c r="H88" s="89">
        <v>7</v>
      </c>
      <c r="I88" s="279">
        <v>8</v>
      </c>
      <c r="J88" s="88">
        <v>9</v>
      </c>
      <c r="K88" s="89">
        <v>10</v>
      </c>
      <c r="L88" s="91">
        <v>11</v>
      </c>
      <c r="M88" s="92">
        <v>0.12</v>
      </c>
      <c r="N88" s="91">
        <v>13</v>
      </c>
      <c r="O88" s="93">
        <v>14</v>
      </c>
      <c r="P88" s="88">
        <v>15</v>
      </c>
      <c r="Q88" s="88">
        <v>16</v>
      </c>
      <c r="R88" s="95">
        <v>17</v>
      </c>
      <c r="S88" s="95">
        <v>18</v>
      </c>
      <c r="T88" s="95">
        <v>19</v>
      </c>
      <c r="U88" s="95">
        <v>20</v>
      </c>
      <c r="V88" s="95">
        <v>21</v>
      </c>
      <c r="W88" s="95">
        <v>22</v>
      </c>
      <c r="X88" s="95">
        <v>23</v>
      </c>
      <c r="Y88" s="95">
        <v>24</v>
      </c>
      <c r="Z88" s="95">
        <v>25</v>
      </c>
      <c r="AA88" s="95">
        <v>26</v>
      </c>
      <c r="AB88" s="95">
        <v>27</v>
      </c>
      <c r="AC88" s="95">
        <v>28</v>
      </c>
      <c r="AD88" s="95">
        <v>29</v>
      </c>
      <c r="AE88" s="95">
        <v>30</v>
      </c>
    </row>
    <row r="89" spans="1:31" x14ac:dyDescent="0.2">
      <c r="A89" s="86"/>
      <c r="B89" s="86"/>
      <c r="C89" s="86"/>
      <c r="D89" s="86"/>
      <c r="E89" s="87"/>
      <c r="F89" s="86"/>
      <c r="G89" s="88"/>
      <c r="H89" s="89"/>
      <c r="I89" s="280"/>
      <c r="J89" s="88"/>
      <c r="K89" s="89"/>
      <c r="P89" s="88"/>
      <c r="Q89" s="88"/>
    </row>
    <row r="90" spans="1:31" ht="12" customHeight="1" x14ac:dyDescent="0.2">
      <c r="A90" s="86"/>
      <c r="B90" s="86"/>
      <c r="C90" s="86"/>
      <c r="D90" s="86"/>
      <c r="E90" s="87"/>
      <c r="F90" s="86"/>
      <c r="G90" s="88"/>
      <c r="H90" s="89"/>
      <c r="I90" s="280"/>
      <c r="J90" s="88"/>
      <c r="K90" s="89"/>
      <c r="P90" s="88"/>
      <c r="Q90" s="88"/>
    </row>
    <row r="91" spans="1:31" x14ac:dyDescent="0.2">
      <c r="A91" s="86"/>
      <c r="B91" s="86"/>
      <c r="C91" s="86"/>
      <c r="D91" s="86"/>
      <c r="E91" s="87"/>
      <c r="F91" s="86"/>
      <c r="G91" s="88"/>
      <c r="H91" s="89"/>
      <c r="I91" s="90"/>
      <c r="J91" s="88"/>
      <c r="K91" s="89"/>
      <c r="P91" s="88"/>
      <c r="Q91" s="88"/>
    </row>
  </sheetData>
  <sheetProtection insertRows="0"/>
  <mergeCells count="7">
    <mergeCell ref="AB3:AE3"/>
    <mergeCell ref="AH3:AK3"/>
    <mergeCell ref="B5:P5"/>
    <mergeCell ref="B2:P2"/>
    <mergeCell ref="B3:D3"/>
    <mergeCell ref="R3:U3"/>
    <mergeCell ref="W3:Z3"/>
  </mergeCells>
  <printOptions horizontalCentered="1"/>
  <pageMargins left="0.25" right="0.25" top="0.75" bottom="0.75" header="0.3" footer="0.3"/>
  <pageSetup scale="26" orientation="landscape" r:id="rId1"/>
  <headerFooter alignWithMargins="0">
    <oddHeader>&amp;C&amp;14Ordinance Table</oddHeader>
    <oddFooter>&amp;LCity of Midland Roadway Impact Fees&amp;CApril 2019&amp;RBased on ITE 10th Edition</oddFooter>
  </headerFooter>
  <rowBreaks count="1" manualBreakCount="1">
    <brk id="55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Midland_Worksheet</vt:lpstr>
      <vt:lpstr>Service Areas</vt:lpstr>
      <vt:lpstr>19-WW_Lookup</vt:lpstr>
      <vt:lpstr>19-Water_Lookup</vt:lpstr>
      <vt:lpstr>19-RW-Lookup</vt:lpstr>
      <vt:lpstr>List2019water</vt:lpstr>
      <vt:lpstr>LU_Name</vt:lpstr>
      <vt:lpstr>Midland_Worksheet!Print_Area</vt:lpstr>
      <vt:lpstr>'19-RW-Lookup'!Print_Titles</vt:lpstr>
    </vt:vector>
  </TitlesOfParts>
  <Company>Kimley-Horn 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 user</dc:creator>
  <cp:lastModifiedBy>Natalie Burgard</cp:lastModifiedBy>
  <cp:lastPrinted>2021-03-03T19:58:02Z</cp:lastPrinted>
  <dcterms:created xsi:type="dcterms:W3CDTF">2005-07-15T17:58:19Z</dcterms:created>
  <dcterms:modified xsi:type="dcterms:W3CDTF">2021-03-03T19:58:46Z</dcterms:modified>
</cp:coreProperties>
</file>